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4"/>
  </bookViews>
  <sheets>
    <sheet name="Лист1" sheetId="1" state="hidden" r:id="rId1"/>
    <sheet name="май иПСО-312(212)" sheetId="2" r:id="rId2"/>
    <sheet name="май иЭ-302(202)" sheetId="3" r:id="rId3"/>
    <sheet name="май иПСО-222(122)" sheetId="4" r:id="rId4"/>
    <sheet name="май иЭ-108" sheetId="5" r:id="rId5"/>
    <sheet name="сводная по отделению" sheetId="6" r:id="rId6"/>
  </sheets>
  <definedNames/>
  <calcPr fullCalcOnLoad="1"/>
</workbook>
</file>

<file path=xl/sharedStrings.xml><?xml version="1.0" encoding="utf-8"?>
<sst xmlns="http://schemas.openxmlformats.org/spreadsheetml/2006/main" count="264" uniqueCount="116">
  <si>
    <t>№ п/п</t>
  </si>
  <si>
    <t>ФИО студента</t>
  </si>
  <si>
    <t>по неув.прич.</t>
  </si>
  <si>
    <t>по ув. прич.</t>
  </si>
  <si>
    <t>кол.пропусков</t>
  </si>
  <si>
    <t>Классный руководитель_______</t>
  </si>
  <si>
    <t>Староста ___________</t>
  </si>
  <si>
    <t>ИТОГО:</t>
  </si>
  <si>
    <t>Кол-во неусп. в  данном месяце</t>
  </si>
  <si>
    <t>Академ.долги за предыдущие промеж.аттес.</t>
  </si>
  <si>
    <t>Русский язык</t>
  </si>
  <si>
    <t>Литература</t>
  </si>
  <si>
    <t>Иностранный язык</t>
  </si>
  <si>
    <t>История</t>
  </si>
  <si>
    <t>Обществознание</t>
  </si>
  <si>
    <t>Биология</t>
  </si>
  <si>
    <t>Химия</t>
  </si>
  <si>
    <t>Физическая культура</t>
  </si>
  <si>
    <t>ОБЖ</t>
  </si>
  <si>
    <t>Математика</t>
  </si>
  <si>
    <t>Физика</t>
  </si>
  <si>
    <t>Информатика</t>
  </si>
  <si>
    <t>Количество часов</t>
  </si>
  <si>
    <t>Количество человек</t>
  </si>
  <si>
    <t>Кол.пропусков на 1 студента</t>
  </si>
  <si>
    <t>Посещаемость</t>
  </si>
  <si>
    <t>%</t>
  </si>
  <si>
    <t>Кол. Неуспевающих</t>
  </si>
  <si>
    <t>чел.</t>
  </si>
  <si>
    <t xml:space="preserve"> Успеваемость</t>
  </si>
  <si>
    <t>Учатся на 4 и 5</t>
  </si>
  <si>
    <t>% качества</t>
  </si>
  <si>
    <t>Зав отделением Семенова Л.Г.</t>
  </si>
  <si>
    <t>ВЕДОМОСТЬ ЕЖЕМЕСЯЧНОЙ АТТЕСТАЦИИ СТУДЕНТОВ СУХОЛОЖСКОГО ФИЛИАЛА АНО СПО "УПК"</t>
  </si>
  <si>
    <t>группа СлЭП-102  за  декабрь  месяц  2011/2012 учебного года</t>
  </si>
  <si>
    <t>Академ.долги за предыдущие сессии</t>
  </si>
  <si>
    <t>Губина Анастасия Александровна</t>
  </si>
  <si>
    <t>Киреев Евгений Александрович</t>
  </si>
  <si>
    <t>Коковина Наталья Александровна</t>
  </si>
  <si>
    <t>Копырин Александр Владимирович</t>
  </si>
  <si>
    <t>Косых Дмитрий Алексеевич</t>
  </si>
  <si>
    <t>Куваева Елена Юрьевна</t>
  </si>
  <si>
    <t>Кузнецов Сергей Эдуардович</t>
  </si>
  <si>
    <t>Кустышева Виктория Андреевна</t>
  </si>
  <si>
    <t>Манеров Иван Сергеевич</t>
  </si>
  <si>
    <t>Павлик Марина Викторовна</t>
  </si>
  <si>
    <t>Рудакова Юлия Николаевна</t>
  </si>
  <si>
    <t>Рябова Ксения Константиновна</t>
  </si>
  <si>
    <t>Суетин Данил Сергеевич</t>
  </si>
  <si>
    <t>Удалов Константин Владимирович</t>
  </si>
  <si>
    <t>Хорьков Александр Сергеевич</t>
  </si>
  <si>
    <t>Хочкова Вероника Сергеевна</t>
  </si>
  <si>
    <t>Шихов Андрей Михайлович</t>
  </si>
  <si>
    <t>Румянцев Дмитрий Сергеевич</t>
  </si>
  <si>
    <t>Макаров Павел Иванович</t>
  </si>
  <si>
    <t>Дегтярёв Павел Анатольевич</t>
  </si>
  <si>
    <t xml:space="preserve">Кол. неуспевающих </t>
  </si>
  <si>
    <t xml:space="preserve">Успеваемость </t>
  </si>
  <si>
    <t>Всего часов на 21 человек</t>
  </si>
  <si>
    <t>Ф.И.О. студента</t>
  </si>
  <si>
    <t>ВЕДОМОСТЬ ЕЖЕМЕСЯЧНОЙ АТТЕСТАЦИИ СТУДЕНТОВ ИВДЕЛЬСКОГО ФИЛИАЛА АН ПОО "Уральский промышленно-экономический техникум"</t>
  </si>
  <si>
    <t>Зав.отделением _________</t>
  </si>
  <si>
    <t xml:space="preserve">% качества - </t>
  </si>
  <si>
    <t>Показатели учебно-воспитательной работы</t>
  </si>
  <si>
    <t>Кол-во студентов в группе, чел.</t>
  </si>
  <si>
    <t>Успеваемость, %</t>
  </si>
  <si>
    <t>Качество, %</t>
  </si>
  <si>
    <t>Посещаемость, %</t>
  </si>
  <si>
    <t>Кол-во пропусков на 1 студента, час.на чел.</t>
  </si>
  <si>
    <t>Должники за предыдущие семестры, чел</t>
  </si>
  <si>
    <t>сентябрь</t>
  </si>
  <si>
    <t>октябрь</t>
  </si>
  <si>
    <t>ноябрь</t>
  </si>
  <si>
    <t>1  семестр</t>
  </si>
  <si>
    <t>февраль</t>
  </si>
  <si>
    <t>март</t>
  </si>
  <si>
    <t>апрель</t>
  </si>
  <si>
    <t>май</t>
  </si>
  <si>
    <t>2 семестр</t>
  </si>
  <si>
    <t>СВОДНЫЕ ДАННЫЕ ПО ОТДЕЛЕНИЮ</t>
  </si>
  <si>
    <t>РЕЗУЛЬТАТЫ МОНИТОРИНГА УСПЕВАЕМОСТИ И КАЧЕСТВА ОБУЧЕНИЯ СТУДЕНТОВ ОЧНОГО ОТДЕЛЕНИЯ ИВДЕЛЬСКОГО ФИЛИАЛА АН ПОО "УРАЛЬСКИЙ ПРОМЫШЛЕННО-ЭКОНОМИЧЕСКИЙ ТЕХНИКУМ"</t>
  </si>
  <si>
    <t>Регистрационный номер</t>
  </si>
  <si>
    <t>чел</t>
  </si>
  <si>
    <t xml:space="preserve">Посещаемость  - </t>
  </si>
  <si>
    <t>Кудашева Мария Васильевна</t>
  </si>
  <si>
    <t>Мишутова Виолетта Олеговна</t>
  </si>
  <si>
    <t>Шутова Юлия Алексеевна</t>
  </si>
  <si>
    <t>Чуприна Мария Сергеевна</t>
  </si>
  <si>
    <t>Антропов Андрей Владимирович</t>
  </si>
  <si>
    <t>Фомина Кристина Сергеевна</t>
  </si>
  <si>
    <t>Одегова Мария Юрьевна</t>
  </si>
  <si>
    <t>н/а</t>
  </si>
  <si>
    <t>Кол.пропусков б/у пр. на 1 студента -</t>
  </si>
  <si>
    <t>5</t>
  </si>
  <si>
    <t>группа иПСО-312</t>
  </si>
  <si>
    <t>группа иЭ-302</t>
  </si>
  <si>
    <t>группа иПСО-222</t>
  </si>
  <si>
    <t>группа иЭ-108</t>
  </si>
  <si>
    <t>Психология СПД</t>
  </si>
  <si>
    <t>3</t>
  </si>
  <si>
    <t>4</t>
  </si>
  <si>
    <t>Основы философии</t>
  </si>
  <si>
    <t>Правоохранительны и судебные органы</t>
  </si>
  <si>
    <t>Астрономия</t>
  </si>
  <si>
    <t>Учатся на 4 и 5 -</t>
  </si>
  <si>
    <t xml:space="preserve">Учатся на 4 и 5 - </t>
  </si>
  <si>
    <t>Родная литература</t>
  </si>
  <si>
    <t>Экономика</t>
  </si>
  <si>
    <t>Право</t>
  </si>
  <si>
    <t>Основы этики</t>
  </si>
  <si>
    <t>Учатся на 4 и 5 -2</t>
  </si>
  <si>
    <t>Учатся на 4 и 5 - 9</t>
  </si>
  <si>
    <t>группа иПСО-312(212) за май 2020/2021 учебного года</t>
  </si>
  <si>
    <t>группа иЭ-108 за май 2020/2021 учебного года</t>
  </si>
  <si>
    <t>группа иПСО-222 (122) за май 2020/2021 учебного года</t>
  </si>
  <si>
    <t>группа иЭ-302(202) за май 2020/2021 учебного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</si>
</sst>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0.0%"/>
    <numFmt numFmtId="176" formatCode="0.000%"/>
    <numFmt numFmtId="177" formatCode="0.000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0" fontId="34" fillId="0" borderId="10" xfId="53" applyBorder="1">
      <alignment/>
      <protection/>
    </xf>
    <xf numFmtId="0" fontId="7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4" fillId="0" borderId="10" xfId="53" applyBorder="1" applyAlignment="1">
      <alignment horizontal="center"/>
      <protection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NumberFormat="1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 vertical="justify" textRotation="90" wrapText="1"/>
    </xf>
    <xf numFmtId="0" fontId="8" fillId="0" borderId="22" xfId="53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9" fontId="8" fillId="0" borderId="10" xfId="53" applyNumberFormat="1" applyFont="1" applyFill="1" applyBorder="1" applyAlignment="1">
      <alignment horizontal="center"/>
      <protection/>
    </xf>
    <xf numFmtId="1" fontId="8" fillId="0" borderId="10" xfId="53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 textRotation="90" wrapText="1"/>
    </xf>
    <xf numFmtId="0" fontId="2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6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2" fillId="0" borderId="20" xfId="0" applyFont="1" applyFill="1" applyBorder="1" applyAlignment="1">
      <alignment textRotation="90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1" fillId="32" borderId="10" xfId="0" applyFont="1" applyFill="1" applyBorder="1" applyAlignment="1">
      <alignment horizontal="center" vertical="center" wrapText="1"/>
    </xf>
    <xf numFmtId="9" fontId="32" fillId="0" borderId="0" xfId="0" applyNumberFormat="1" applyFont="1" applyBorder="1" applyAlignment="1">
      <alignment horizontal="center"/>
    </xf>
    <xf numFmtId="0" fontId="43" fillId="0" borderId="10" xfId="53" applyFont="1" applyBorder="1" applyAlignment="1">
      <alignment horizontal="center"/>
      <protection/>
    </xf>
    <xf numFmtId="9" fontId="13" fillId="0" borderId="10" xfId="53" applyNumberFormat="1" applyFont="1" applyFill="1" applyBorder="1" applyAlignment="1">
      <alignment horizontal="center"/>
      <protection/>
    </xf>
    <xf numFmtId="9" fontId="6" fillId="0" borderId="10" xfId="53" applyNumberFormat="1" applyFont="1" applyBorder="1" applyAlignment="1">
      <alignment horizontal="center"/>
      <protection/>
    </xf>
    <xf numFmtId="1" fontId="13" fillId="0" borderId="10" xfId="5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 textRotation="90" wrapText="1"/>
    </xf>
    <xf numFmtId="0" fontId="1" fillId="0" borderId="23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9" fontId="14" fillId="0" borderId="10" xfId="53" applyNumberFormat="1" applyFont="1" applyBorder="1" applyAlignment="1">
      <alignment horizontal="center"/>
      <protection/>
    </xf>
    <xf numFmtId="0" fontId="2" fillId="0" borderId="16" xfId="0" applyFont="1" applyBorder="1" applyAlignment="1">
      <alignment horizontal="center" textRotation="90" wrapText="1"/>
    </xf>
    <xf numFmtId="0" fontId="0" fillId="32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72" fontId="0" fillId="0" borderId="24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0" xfId="53" applyFont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3.625" style="0" customWidth="1"/>
    <col min="2" max="2" width="28.875" style="0" customWidth="1"/>
  </cols>
  <sheetData>
    <row r="1" spans="1:22" ht="12.75">
      <c r="A1" s="123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</row>
    <row r="2" spans="1:22" ht="12.75">
      <c r="A2" s="123" t="s">
        <v>34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ht="78">
      <c r="A3" s="16" t="s">
        <v>0</v>
      </c>
      <c r="B3" s="17" t="s">
        <v>1</v>
      </c>
      <c r="C3" s="18" t="s">
        <v>10</v>
      </c>
      <c r="D3" s="18" t="s">
        <v>11</v>
      </c>
      <c r="E3" s="19" t="s">
        <v>12</v>
      </c>
      <c r="F3" s="18" t="s">
        <v>13</v>
      </c>
      <c r="G3" s="19" t="s">
        <v>14</v>
      </c>
      <c r="H3" s="18" t="s">
        <v>15</v>
      </c>
      <c r="I3" s="18" t="s">
        <v>16</v>
      </c>
      <c r="J3" s="19" t="s">
        <v>17</v>
      </c>
      <c r="K3" s="18" t="s">
        <v>18</v>
      </c>
      <c r="L3" s="18" t="s">
        <v>19</v>
      </c>
      <c r="M3" s="18" t="s">
        <v>21</v>
      </c>
      <c r="N3" s="18" t="s">
        <v>20</v>
      </c>
      <c r="O3" s="18"/>
      <c r="P3" s="18"/>
      <c r="Q3" s="18"/>
      <c r="R3" s="18"/>
      <c r="S3" s="19" t="s">
        <v>35</v>
      </c>
      <c r="T3" s="18" t="s">
        <v>4</v>
      </c>
      <c r="U3" s="18" t="s">
        <v>3</v>
      </c>
      <c r="V3" s="18" t="s">
        <v>2</v>
      </c>
    </row>
    <row r="4" spans="1:22" ht="25.5">
      <c r="A4" s="1">
        <v>1</v>
      </c>
      <c r="B4" s="20" t="s">
        <v>36</v>
      </c>
      <c r="C4" s="8">
        <v>4</v>
      </c>
      <c r="D4" s="8">
        <v>4</v>
      </c>
      <c r="E4" s="8">
        <v>4</v>
      </c>
      <c r="F4" s="8">
        <v>4</v>
      </c>
      <c r="G4" s="8">
        <v>4</v>
      </c>
      <c r="H4" s="8">
        <v>4</v>
      </c>
      <c r="I4" s="8">
        <v>4</v>
      </c>
      <c r="J4" s="8">
        <v>4</v>
      </c>
      <c r="K4" s="8">
        <v>5</v>
      </c>
      <c r="L4" s="8">
        <v>3</v>
      </c>
      <c r="M4" s="8">
        <v>4</v>
      </c>
      <c r="N4" s="8">
        <v>4</v>
      </c>
      <c r="O4" s="8"/>
      <c r="P4" s="8"/>
      <c r="Q4" s="8"/>
      <c r="R4" s="8"/>
      <c r="S4" s="8"/>
      <c r="T4" s="8"/>
      <c r="U4" s="8"/>
      <c r="V4" s="8"/>
    </row>
    <row r="5" spans="1:22" ht="25.5">
      <c r="A5" s="1">
        <v>2</v>
      </c>
      <c r="B5" s="20" t="s">
        <v>37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>
        <v>3</v>
      </c>
      <c r="I5" s="8">
        <v>3</v>
      </c>
      <c r="J5" s="8">
        <v>4</v>
      </c>
      <c r="K5" s="8">
        <v>4</v>
      </c>
      <c r="L5" s="8">
        <v>3</v>
      </c>
      <c r="M5" s="8">
        <v>4</v>
      </c>
      <c r="N5" s="8">
        <v>3</v>
      </c>
      <c r="O5" s="8"/>
      <c r="P5" s="8"/>
      <c r="Q5" s="8"/>
      <c r="R5" s="8"/>
      <c r="S5" s="8"/>
      <c r="T5" s="8">
        <v>24</v>
      </c>
      <c r="U5" s="8">
        <v>20</v>
      </c>
      <c r="V5" s="8">
        <v>4</v>
      </c>
    </row>
    <row r="6" spans="1:22" ht="25.5">
      <c r="A6" s="1">
        <v>3</v>
      </c>
      <c r="B6" s="20" t="s">
        <v>38</v>
      </c>
      <c r="C6" s="8">
        <v>5</v>
      </c>
      <c r="D6" s="8">
        <v>5</v>
      </c>
      <c r="E6" s="8">
        <v>5</v>
      </c>
      <c r="F6" s="8">
        <v>4</v>
      </c>
      <c r="G6" s="8">
        <v>5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8">
        <v>5</v>
      </c>
      <c r="N6" s="8">
        <v>5</v>
      </c>
      <c r="O6" s="8"/>
      <c r="P6" s="8"/>
      <c r="Q6" s="8"/>
      <c r="R6" s="8"/>
      <c r="S6" s="8"/>
      <c r="T6" s="8"/>
      <c r="U6" s="8"/>
      <c r="V6" s="8"/>
    </row>
    <row r="7" spans="1:22" ht="25.5">
      <c r="A7" s="1">
        <v>4</v>
      </c>
      <c r="B7" s="20" t="s">
        <v>39</v>
      </c>
      <c r="C7" s="8">
        <v>4</v>
      </c>
      <c r="D7" s="8">
        <v>4</v>
      </c>
      <c r="E7" s="8">
        <v>3</v>
      </c>
      <c r="F7" s="8">
        <v>3</v>
      </c>
      <c r="G7" s="8">
        <v>4</v>
      </c>
      <c r="H7" s="8">
        <v>4</v>
      </c>
      <c r="I7" s="8">
        <v>3</v>
      </c>
      <c r="J7" s="8">
        <v>5</v>
      </c>
      <c r="K7" s="8">
        <v>5</v>
      </c>
      <c r="L7" s="8">
        <v>3</v>
      </c>
      <c r="M7" s="8">
        <v>4</v>
      </c>
      <c r="N7" s="8">
        <v>4</v>
      </c>
      <c r="O7" s="8"/>
      <c r="P7" s="8"/>
      <c r="Q7" s="8"/>
      <c r="R7" s="8"/>
      <c r="S7" s="8"/>
      <c r="T7" s="8"/>
      <c r="U7" s="8"/>
      <c r="V7" s="8"/>
    </row>
    <row r="8" spans="1:22" ht="12.75">
      <c r="A8" s="1">
        <v>5</v>
      </c>
      <c r="B8" s="20" t="s">
        <v>40</v>
      </c>
      <c r="C8" s="8">
        <v>3</v>
      </c>
      <c r="D8" s="8">
        <v>3</v>
      </c>
      <c r="E8" s="8">
        <v>3</v>
      </c>
      <c r="F8" s="8">
        <v>3</v>
      </c>
      <c r="G8" s="8">
        <v>4</v>
      </c>
      <c r="H8" s="8">
        <v>3</v>
      </c>
      <c r="I8" s="8">
        <v>3</v>
      </c>
      <c r="J8" s="8">
        <v>3</v>
      </c>
      <c r="K8" s="8">
        <v>4</v>
      </c>
      <c r="L8" s="8">
        <v>4</v>
      </c>
      <c r="M8" s="8">
        <v>4</v>
      </c>
      <c r="N8" s="8">
        <v>4</v>
      </c>
      <c r="O8" s="8"/>
      <c r="P8" s="8"/>
      <c r="Q8" s="8"/>
      <c r="R8" s="8"/>
      <c r="S8" s="8"/>
      <c r="T8" s="8">
        <v>24</v>
      </c>
      <c r="U8" s="8">
        <v>6</v>
      </c>
      <c r="V8" s="8">
        <v>18</v>
      </c>
    </row>
    <row r="9" spans="1:22" ht="12.75">
      <c r="A9" s="1">
        <v>6</v>
      </c>
      <c r="B9" s="20" t="s">
        <v>41</v>
      </c>
      <c r="C9" s="8">
        <v>4</v>
      </c>
      <c r="D9" s="8">
        <v>4</v>
      </c>
      <c r="E9" s="8">
        <v>3</v>
      </c>
      <c r="F9" s="8">
        <v>4</v>
      </c>
      <c r="G9" s="8">
        <v>4</v>
      </c>
      <c r="H9" s="8">
        <v>4</v>
      </c>
      <c r="I9" s="8">
        <v>4</v>
      </c>
      <c r="J9" s="8">
        <v>4</v>
      </c>
      <c r="K9" s="8">
        <v>4</v>
      </c>
      <c r="L9" s="8">
        <v>3</v>
      </c>
      <c r="M9" s="8">
        <v>4</v>
      </c>
      <c r="N9" s="8">
        <v>4</v>
      </c>
      <c r="O9" s="8"/>
      <c r="P9" s="8"/>
      <c r="Q9" s="8"/>
      <c r="R9" s="8"/>
      <c r="S9" s="8"/>
      <c r="T9" s="8"/>
      <c r="U9" s="8"/>
      <c r="V9" s="8"/>
    </row>
    <row r="10" spans="1:22" ht="12.75">
      <c r="A10" s="1">
        <v>7</v>
      </c>
      <c r="B10" s="20" t="s">
        <v>42</v>
      </c>
      <c r="C10" s="8">
        <v>4</v>
      </c>
      <c r="D10" s="8">
        <v>4</v>
      </c>
      <c r="E10" s="8">
        <v>3</v>
      </c>
      <c r="F10" s="8">
        <v>3</v>
      </c>
      <c r="G10" s="8">
        <v>4</v>
      </c>
      <c r="H10" s="8">
        <v>4</v>
      </c>
      <c r="I10" s="8">
        <v>3</v>
      </c>
      <c r="J10" s="8">
        <v>4</v>
      </c>
      <c r="K10" s="8">
        <v>4</v>
      </c>
      <c r="L10" s="8">
        <v>3</v>
      </c>
      <c r="M10" s="8">
        <v>5</v>
      </c>
      <c r="N10" s="8">
        <v>4</v>
      </c>
      <c r="O10" s="8"/>
      <c r="P10" s="8"/>
      <c r="Q10" s="8"/>
      <c r="R10" s="8"/>
      <c r="S10" s="8"/>
      <c r="T10" s="8"/>
      <c r="U10" s="8"/>
      <c r="V10" s="8"/>
    </row>
    <row r="11" spans="1:22" ht="25.5">
      <c r="A11" s="1">
        <v>8</v>
      </c>
      <c r="B11" s="20" t="s">
        <v>43</v>
      </c>
      <c r="C11" s="8">
        <v>3</v>
      </c>
      <c r="D11" s="8">
        <v>4</v>
      </c>
      <c r="E11" s="8">
        <v>3</v>
      </c>
      <c r="F11" s="8">
        <v>4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3</v>
      </c>
      <c r="M11" s="8">
        <v>4</v>
      </c>
      <c r="N11" s="8">
        <v>4</v>
      </c>
      <c r="O11" s="8"/>
      <c r="P11" s="8"/>
      <c r="Q11" s="8"/>
      <c r="R11" s="8"/>
      <c r="S11" s="8"/>
      <c r="T11" s="8">
        <v>24</v>
      </c>
      <c r="U11" s="8">
        <v>24</v>
      </c>
      <c r="V11" s="8"/>
    </row>
    <row r="12" spans="1:22" ht="12.75">
      <c r="A12" s="1">
        <v>9</v>
      </c>
      <c r="B12" s="20" t="s">
        <v>44</v>
      </c>
      <c r="C12" s="8">
        <v>3</v>
      </c>
      <c r="D12" s="8">
        <v>4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5</v>
      </c>
      <c r="K12" s="8">
        <v>4</v>
      </c>
      <c r="L12" s="8">
        <v>3</v>
      </c>
      <c r="M12" s="8">
        <v>4</v>
      </c>
      <c r="N12" s="8">
        <v>3</v>
      </c>
      <c r="O12" s="8"/>
      <c r="P12" s="8"/>
      <c r="Q12" s="8"/>
      <c r="R12" s="8"/>
      <c r="S12" s="8"/>
      <c r="T12" s="8"/>
      <c r="U12" s="8"/>
      <c r="V12" s="8"/>
    </row>
    <row r="13" spans="1:22" ht="12.75">
      <c r="A13" s="1">
        <v>10</v>
      </c>
      <c r="B13" s="20" t="s">
        <v>45</v>
      </c>
      <c r="C13" s="8">
        <v>3</v>
      </c>
      <c r="D13" s="8">
        <v>4</v>
      </c>
      <c r="E13" s="8">
        <v>3</v>
      </c>
      <c r="F13" s="8">
        <v>3</v>
      </c>
      <c r="G13" s="8">
        <v>3</v>
      </c>
      <c r="H13" s="8">
        <v>3</v>
      </c>
      <c r="I13" s="8">
        <v>4</v>
      </c>
      <c r="J13" s="8">
        <v>4</v>
      </c>
      <c r="K13" s="8">
        <v>4</v>
      </c>
      <c r="L13" s="8">
        <v>3</v>
      </c>
      <c r="M13" s="8">
        <v>4</v>
      </c>
      <c r="N13" s="8">
        <v>3</v>
      </c>
      <c r="O13" s="8"/>
      <c r="P13" s="8"/>
      <c r="Q13" s="8"/>
      <c r="R13" s="8"/>
      <c r="S13" s="8"/>
      <c r="T13" s="8">
        <v>4</v>
      </c>
      <c r="U13" s="8">
        <v>4</v>
      </c>
      <c r="V13" s="8"/>
    </row>
    <row r="14" spans="1:22" ht="12.75">
      <c r="A14" s="1">
        <v>11</v>
      </c>
      <c r="B14" s="20" t="s">
        <v>46</v>
      </c>
      <c r="C14" s="8">
        <v>3</v>
      </c>
      <c r="D14" s="8">
        <v>4</v>
      </c>
      <c r="E14" s="8">
        <v>3</v>
      </c>
      <c r="F14" s="8">
        <v>3</v>
      </c>
      <c r="G14" s="8">
        <v>3</v>
      </c>
      <c r="H14" s="8">
        <v>4</v>
      </c>
      <c r="I14" s="8">
        <v>3</v>
      </c>
      <c r="J14" s="8">
        <v>4</v>
      </c>
      <c r="K14" s="8">
        <v>4</v>
      </c>
      <c r="L14" s="8">
        <v>3</v>
      </c>
      <c r="M14" s="8">
        <v>4</v>
      </c>
      <c r="N14" s="8">
        <v>4</v>
      </c>
      <c r="O14" s="8"/>
      <c r="P14" s="8"/>
      <c r="Q14" s="8"/>
      <c r="R14" s="8"/>
      <c r="S14" s="8"/>
      <c r="T14" s="8">
        <v>34</v>
      </c>
      <c r="U14" s="8">
        <v>34</v>
      </c>
      <c r="V14" s="8"/>
    </row>
    <row r="15" spans="1:22" ht="12.75">
      <c r="A15" s="1">
        <v>12</v>
      </c>
      <c r="B15" s="20" t="s">
        <v>47</v>
      </c>
      <c r="C15" s="8">
        <v>4</v>
      </c>
      <c r="D15" s="8">
        <v>4</v>
      </c>
      <c r="E15" s="8">
        <v>5</v>
      </c>
      <c r="F15" s="8">
        <v>4</v>
      </c>
      <c r="G15" s="8">
        <v>4</v>
      </c>
      <c r="H15" s="8">
        <v>4</v>
      </c>
      <c r="I15" s="8">
        <v>4</v>
      </c>
      <c r="J15" s="8">
        <v>4</v>
      </c>
      <c r="K15" s="8">
        <v>5</v>
      </c>
      <c r="L15" s="8">
        <v>4</v>
      </c>
      <c r="M15" s="8">
        <v>5</v>
      </c>
      <c r="N15" s="8">
        <v>4</v>
      </c>
      <c r="O15" s="8"/>
      <c r="P15" s="8"/>
      <c r="Q15" s="8"/>
      <c r="R15" s="8"/>
      <c r="S15" s="8"/>
      <c r="T15" s="8"/>
      <c r="U15" s="8"/>
      <c r="V15" s="8"/>
    </row>
    <row r="16" spans="1:22" ht="12.75">
      <c r="A16" s="1">
        <v>13</v>
      </c>
      <c r="B16" s="20" t="s">
        <v>48</v>
      </c>
      <c r="C16" s="8">
        <v>3</v>
      </c>
      <c r="D16" s="8">
        <v>3</v>
      </c>
      <c r="E16" s="8">
        <v>3</v>
      </c>
      <c r="F16" s="8">
        <v>4</v>
      </c>
      <c r="G16" s="8">
        <v>4</v>
      </c>
      <c r="H16" s="8">
        <v>3</v>
      </c>
      <c r="I16" s="8">
        <v>3</v>
      </c>
      <c r="J16" s="8">
        <v>4</v>
      </c>
      <c r="K16" s="8">
        <v>3</v>
      </c>
      <c r="L16" s="8">
        <v>3</v>
      </c>
      <c r="M16" s="8">
        <v>4</v>
      </c>
      <c r="N16" s="8">
        <v>3</v>
      </c>
      <c r="O16" s="8"/>
      <c r="P16" s="8"/>
      <c r="Q16" s="8"/>
      <c r="R16" s="8"/>
      <c r="S16" s="8"/>
      <c r="T16" s="8"/>
      <c r="U16" s="8"/>
      <c r="V16" s="8"/>
    </row>
    <row r="17" spans="1:22" ht="25.5">
      <c r="A17" s="1">
        <v>14</v>
      </c>
      <c r="B17" s="20" t="s">
        <v>49</v>
      </c>
      <c r="C17" s="8">
        <v>4</v>
      </c>
      <c r="D17" s="8">
        <v>4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5</v>
      </c>
      <c r="K17" s="8">
        <v>4</v>
      </c>
      <c r="L17" s="8">
        <v>3</v>
      </c>
      <c r="M17" s="8">
        <v>5</v>
      </c>
      <c r="N17" s="8">
        <v>4</v>
      </c>
      <c r="O17" s="8"/>
      <c r="P17" s="8"/>
      <c r="Q17" s="8"/>
      <c r="R17" s="8"/>
      <c r="S17" s="8"/>
      <c r="T17" s="8"/>
      <c r="U17" s="8"/>
      <c r="V17" s="8"/>
    </row>
    <row r="18" spans="1:22" ht="12.75">
      <c r="A18" s="1">
        <v>15</v>
      </c>
      <c r="B18" s="20" t="s">
        <v>50</v>
      </c>
      <c r="C18" s="8">
        <v>4</v>
      </c>
      <c r="D18" s="8">
        <v>4</v>
      </c>
      <c r="E18" s="8">
        <v>3</v>
      </c>
      <c r="F18" s="8">
        <v>5</v>
      </c>
      <c r="G18" s="8">
        <v>4</v>
      </c>
      <c r="H18" s="8">
        <v>4</v>
      </c>
      <c r="I18" s="8">
        <v>3</v>
      </c>
      <c r="J18" s="8">
        <v>3</v>
      </c>
      <c r="K18" s="8">
        <v>4</v>
      </c>
      <c r="L18" s="8">
        <v>3</v>
      </c>
      <c r="M18" s="8">
        <v>5</v>
      </c>
      <c r="N18" s="8">
        <v>4</v>
      </c>
      <c r="O18" s="8"/>
      <c r="P18" s="8"/>
      <c r="Q18" s="8"/>
      <c r="R18" s="8"/>
      <c r="S18" s="8"/>
      <c r="T18" s="8">
        <v>2</v>
      </c>
      <c r="U18" s="8"/>
      <c r="V18" s="8">
        <v>2</v>
      </c>
    </row>
    <row r="19" spans="1:22" ht="12.75">
      <c r="A19" s="1">
        <v>16</v>
      </c>
      <c r="B19" s="20" t="s">
        <v>51</v>
      </c>
      <c r="C19" s="8">
        <v>5</v>
      </c>
      <c r="D19" s="8">
        <v>5</v>
      </c>
      <c r="E19" s="8">
        <v>5</v>
      </c>
      <c r="F19" s="8">
        <v>5</v>
      </c>
      <c r="G19" s="8">
        <v>5</v>
      </c>
      <c r="H19" s="8">
        <v>5</v>
      </c>
      <c r="I19" s="8">
        <v>5</v>
      </c>
      <c r="J19" s="8">
        <v>5</v>
      </c>
      <c r="K19" s="8">
        <v>5</v>
      </c>
      <c r="L19" s="8">
        <v>5</v>
      </c>
      <c r="M19" s="8">
        <v>5</v>
      </c>
      <c r="N19" s="8">
        <v>5</v>
      </c>
      <c r="O19" s="8"/>
      <c r="P19" s="8"/>
      <c r="Q19" s="8"/>
      <c r="R19" s="8"/>
      <c r="S19" s="8"/>
      <c r="T19" s="8"/>
      <c r="U19" s="8"/>
      <c r="V19" s="8"/>
    </row>
    <row r="20" spans="1:22" ht="12.75">
      <c r="A20" s="1">
        <v>17</v>
      </c>
      <c r="B20" s="20" t="s">
        <v>52</v>
      </c>
      <c r="C20" s="8">
        <v>3</v>
      </c>
      <c r="D20" s="8">
        <v>3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4</v>
      </c>
      <c r="L20" s="8">
        <v>3</v>
      </c>
      <c r="M20" s="8">
        <v>4</v>
      </c>
      <c r="N20" s="8">
        <v>3</v>
      </c>
      <c r="O20" s="8"/>
      <c r="P20" s="8"/>
      <c r="Q20" s="8"/>
      <c r="R20" s="8"/>
      <c r="S20" s="8"/>
      <c r="T20" s="8"/>
      <c r="U20" s="8"/>
      <c r="V20" s="8"/>
    </row>
    <row r="21" spans="1:22" ht="12.75">
      <c r="A21" s="1">
        <v>18</v>
      </c>
      <c r="B21" s="20" t="s">
        <v>53</v>
      </c>
      <c r="C21" s="8">
        <v>4</v>
      </c>
      <c r="D21" s="8">
        <v>5</v>
      </c>
      <c r="E21" s="8">
        <v>4</v>
      </c>
      <c r="F21" s="8">
        <v>4</v>
      </c>
      <c r="G21" s="8">
        <v>5</v>
      </c>
      <c r="H21" s="8">
        <v>5</v>
      </c>
      <c r="I21" s="8">
        <v>5</v>
      </c>
      <c r="J21" s="8">
        <v>4</v>
      </c>
      <c r="K21" s="8">
        <v>5</v>
      </c>
      <c r="L21" s="8">
        <v>3</v>
      </c>
      <c r="M21" s="8">
        <v>5</v>
      </c>
      <c r="N21" s="8">
        <v>5</v>
      </c>
      <c r="O21" s="8"/>
      <c r="P21" s="8"/>
      <c r="Q21" s="8"/>
      <c r="R21" s="8"/>
      <c r="S21" s="8"/>
      <c r="T21" s="8">
        <v>22</v>
      </c>
      <c r="U21" s="8">
        <v>22</v>
      </c>
      <c r="V21" s="8"/>
    </row>
    <row r="22" spans="1:22" ht="12.75">
      <c r="A22" s="1">
        <v>19</v>
      </c>
      <c r="B22" s="20" t="s">
        <v>54</v>
      </c>
      <c r="C22" s="8">
        <v>3</v>
      </c>
      <c r="D22" s="8">
        <v>3</v>
      </c>
      <c r="E22" s="8">
        <v>3</v>
      </c>
      <c r="F22" s="8">
        <v>4</v>
      </c>
      <c r="G22" s="8">
        <v>4</v>
      </c>
      <c r="H22" s="8">
        <v>3</v>
      </c>
      <c r="I22" s="8">
        <v>3</v>
      </c>
      <c r="J22" s="8">
        <v>4</v>
      </c>
      <c r="K22" s="8">
        <v>4</v>
      </c>
      <c r="L22" s="8">
        <v>3</v>
      </c>
      <c r="M22" s="8">
        <v>4</v>
      </c>
      <c r="N22" s="8">
        <v>3</v>
      </c>
      <c r="O22" s="8"/>
      <c r="P22" s="8"/>
      <c r="Q22" s="8"/>
      <c r="R22" s="8"/>
      <c r="S22" s="8"/>
      <c r="T22" s="8"/>
      <c r="U22" s="8"/>
      <c r="V22" s="8"/>
    </row>
    <row r="23" spans="1:22" ht="12.75">
      <c r="A23" s="1">
        <v>20</v>
      </c>
      <c r="B23" s="20" t="s">
        <v>55</v>
      </c>
      <c r="C23" s="8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/>
      <c r="P23" s="8"/>
      <c r="Q23" s="8"/>
      <c r="R23" s="8"/>
      <c r="S23" s="8"/>
      <c r="T23" s="8"/>
      <c r="U23" s="8"/>
      <c r="V23" s="8"/>
    </row>
    <row r="24" spans="1:22" ht="12.75">
      <c r="A24" s="1">
        <v>21</v>
      </c>
      <c r="B24" s="2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1">
        <v>22</v>
      </c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1">
        <v>23</v>
      </c>
      <c r="B26" s="2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1">
        <v>24</v>
      </c>
      <c r="B27" s="2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1">
        <v>25</v>
      </c>
      <c r="B28" s="2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1">
        <v>26</v>
      </c>
      <c r="B29" s="2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>
      <c r="A30" s="1">
        <v>27</v>
      </c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>
        <v>28</v>
      </c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>
        <v>29</v>
      </c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1" t="s">
        <v>24</v>
      </c>
      <c r="B33" s="12"/>
      <c r="C33" s="12" t="e">
        <f>SUM(V4:V32)/AE2</f>
        <v>#DIV/0!</v>
      </c>
      <c r="D33" s="12"/>
      <c r="E33" s="12"/>
      <c r="F33" s="3" t="s">
        <v>25</v>
      </c>
      <c r="G33" s="3"/>
      <c r="H33" s="3"/>
      <c r="I33" s="126" t="e">
        <f>(AD2*AE2-SUM(V4:V32))/(AE2*AD2)*100</f>
        <v>#DIV/0!</v>
      </c>
      <c r="J33" s="126"/>
      <c r="K33" s="13" t="s">
        <v>26</v>
      </c>
      <c r="L33" s="3" t="s">
        <v>27</v>
      </c>
      <c r="M33" s="3"/>
      <c r="N33" s="3"/>
      <c r="O33" s="3"/>
      <c r="P33" s="3"/>
      <c r="Q33" s="3">
        <f>COUNTIF(AA4:AA32,"&gt;0")</f>
        <v>0</v>
      </c>
      <c r="R33" s="3" t="s">
        <v>28</v>
      </c>
      <c r="S33" s="3" t="s">
        <v>29</v>
      </c>
      <c r="T33" s="3"/>
      <c r="U33" s="14" t="e">
        <f>(AE2-Q33)/AE2*100</f>
        <v>#DIV/0!</v>
      </c>
      <c r="V33" s="15" t="s">
        <v>26</v>
      </c>
    </row>
    <row r="34" spans="1:22" ht="12.75">
      <c r="A34" s="2" t="s">
        <v>30</v>
      </c>
      <c r="B34" s="10"/>
      <c r="C34" s="3">
        <f>AE2-COUNTIF(AB4:AB32,"&gt;0")</f>
        <v>0</v>
      </c>
      <c r="D34" s="3" t="s">
        <v>28</v>
      </c>
      <c r="E34" s="3"/>
      <c r="F34" s="3"/>
      <c r="G34" s="127" t="s">
        <v>31</v>
      </c>
      <c r="H34" s="127"/>
      <c r="I34" s="127"/>
      <c r="J34" s="13" t="e">
        <f>C34/AE2*100</f>
        <v>#DIV/0!</v>
      </c>
      <c r="K34" s="3" t="s">
        <v>26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</row>
    <row r="35" spans="1:22" ht="12.75">
      <c r="A35" s="5"/>
      <c r="B35" s="6" t="s">
        <v>32</v>
      </c>
      <c r="C35" s="6"/>
      <c r="D35" s="6"/>
      <c r="E35" s="6"/>
      <c r="F35" s="9" t="s">
        <v>5</v>
      </c>
      <c r="G35" s="9"/>
      <c r="H35" s="9"/>
      <c r="I35" s="9"/>
      <c r="J35" s="9"/>
      <c r="K35" s="9"/>
      <c r="L35" s="9"/>
      <c r="M35" s="6"/>
      <c r="N35" s="6"/>
      <c r="O35" s="6"/>
      <c r="P35" s="6"/>
      <c r="Q35" s="6"/>
      <c r="R35" s="122" t="s">
        <v>6</v>
      </c>
      <c r="S35" s="122"/>
      <c r="T35" s="122"/>
      <c r="U35" s="122"/>
      <c r="V35" s="7"/>
    </row>
  </sheetData>
  <sheetProtection/>
  <mergeCells count="5">
    <mergeCell ref="R35:U35"/>
    <mergeCell ref="A1:V1"/>
    <mergeCell ref="A2:V2"/>
    <mergeCell ref="I33:J33"/>
    <mergeCell ref="G34:I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2" sqref="A2:X2"/>
    </sheetView>
  </sheetViews>
  <sheetFormatPr defaultColWidth="9.00390625" defaultRowHeight="12.75"/>
  <cols>
    <col min="1" max="1" width="3.25390625" style="21" customWidth="1"/>
    <col min="2" max="2" width="19.625" style="21" customWidth="1"/>
    <col min="3" max="7" width="3.375" style="21" customWidth="1"/>
    <col min="8" max="8" width="5.75390625" style="21" customWidth="1"/>
    <col min="9" max="10" width="3.375" style="21" customWidth="1"/>
    <col min="11" max="11" width="5.375" style="21" customWidth="1"/>
    <col min="12" max="12" width="3.375" style="21" customWidth="1"/>
    <col min="13" max="13" width="5.00390625" style="21" customWidth="1"/>
    <col min="14" max="14" width="3.375" style="21" customWidth="1"/>
    <col min="15" max="15" width="2.625" style="21" customWidth="1"/>
    <col min="16" max="19" width="3.375" style="21" customWidth="1"/>
    <col min="20" max="24" width="6.875" style="21" customWidth="1"/>
    <col min="25" max="25" width="9.125" style="21" customWidth="1"/>
    <col min="26" max="33" width="10.375" style="21" hidden="1" customWidth="1"/>
    <col min="34" max="38" width="10.375" style="21" customWidth="1"/>
    <col min="39" max="16384" width="9.125" style="21" customWidth="1"/>
  </cols>
  <sheetData>
    <row r="1" spans="1:32" ht="24.75" customHeight="1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AD1" s="21" t="s">
        <v>58</v>
      </c>
      <c r="AE1" s="21" t="s">
        <v>22</v>
      </c>
      <c r="AF1" s="21" t="s">
        <v>23</v>
      </c>
    </row>
    <row r="2" spans="1:32" ht="12.75">
      <c r="A2" s="128" t="s">
        <v>112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AD2" s="21">
        <v>3002</v>
      </c>
      <c r="AE2" s="21">
        <v>158</v>
      </c>
      <c r="AF2" s="21">
        <v>19</v>
      </c>
    </row>
    <row r="3" spans="1:24" ht="135" customHeight="1">
      <c r="A3" s="27" t="s">
        <v>0</v>
      </c>
      <c r="B3" s="45" t="s">
        <v>81</v>
      </c>
      <c r="C3" s="29"/>
      <c r="D3" s="29"/>
      <c r="E3" s="29"/>
      <c r="F3" s="29"/>
      <c r="G3" s="29"/>
      <c r="H3" s="29"/>
      <c r="I3" s="29"/>
      <c r="J3" s="29"/>
      <c r="K3" s="29"/>
      <c r="L3" s="72"/>
      <c r="M3" s="29"/>
      <c r="N3" s="29"/>
      <c r="O3" s="29"/>
      <c r="P3" s="29"/>
      <c r="Q3" s="28"/>
      <c r="R3" s="44"/>
      <c r="S3" s="28"/>
      <c r="T3" s="28" t="s">
        <v>9</v>
      </c>
      <c r="U3" s="28" t="s">
        <v>8</v>
      </c>
      <c r="V3" s="28" t="s">
        <v>4</v>
      </c>
      <c r="W3" s="28" t="s">
        <v>3</v>
      </c>
      <c r="X3" s="28" t="s">
        <v>2</v>
      </c>
    </row>
    <row r="4" spans="1:29" ht="32.25" customHeight="1">
      <c r="A4" s="22">
        <v>1</v>
      </c>
      <c r="B4" s="46">
        <v>1823020301</v>
      </c>
      <c r="C4" s="83"/>
      <c r="D4" s="112"/>
      <c r="E4" s="83"/>
      <c r="F4" s="83"/>
      <c r="G4" s="83"/>
      <c r="H4" s="83"/>
      <c r="I4" s="83"/>
      <c r="J4" s="83"/>
      <c r="K4" s="83"/>
      <c r="L4" s="81"/>
      <c r="M4" s="81"/>
      <c r="N4" s="43"/>
      <c r="O4" s="43"/>
      <c r="P4" s="26"/>
      <c r="Q4" s="26"/>
      <c r="R4" s="26"/>
      <c r="S4" s="26"/>
      <c r="T4" s="26"/>
      <c r="U4" s="26"/>
      <c r="V4" s="26"/>
      <c r="W4" s="26"/>
      <c r="X4" s="26"/>
      <c r="AB4" s="21">
        <f>COUNTIF(C4:S4,2)</f>
        <v>0</v>
      </c>
      <c r="AC4" s="21">
        <f>COUNTIF(C4:S4,"&lt;=3")</f>
        <v>0</v>
      </c>
    </row>
    <row r="5" spans="1:24" ht="19.5" customHeight="1">
      <c r="A5" s="22">
        <v>2</v>
      </c>
      <c r="B5" s="46">
        <v>1940020101</v>
      </c>
      <c r="C5" s="83"/>
      <c r="D5" s="112"/>
      <c r="E5" s="83"/>
      <c r="F5" s="83"/>
      <c r="G5" s="83"/>
      <c r="H5" s="83"/>
      <c r="I5" s="83"/>
      <c r="J5" s="83"/>
      <c r="K5" s="83"/>
      <c r="L5" s="81"/>
      <c r="M5" s="81"/>
      <c r="N5" s="43"/>
      <c r="O5" s="43"/>
      <c r="P5" s="26"/>
      <c r="Q5" s="26"/>
      <c r="R5" s="26"/>
      <c r="S5" s="26"/>
      <c r="T5" s="26"/>
      <c r="U5" s="26"/>
      <c r="V5" s="26"/>
      <c r="W5" s="26"/>
      <c r="X5" s="26"/>
    </row>
    <row r="6" spans="1:24" ht="32.25" customHeight="1">
      <c r="A6" s="22">
        <v>3</v>
      </c>
      <c r="B6" s="46">
        <v>1940020102</v>
      </c>
      <c r="C6" s="83"/>
      <c r="D6" s="112"/>
      <c r="E6" s="83"/>
      <c r="F6" s="83"/>
      <c r="G6" s="83"/>
      <c r="H6" s="83"/>
      <c r="I6" s="83"/>
      <c r="J6" s="83"/>
      <c r="K6" s="83"/>
      <c r="L6" s="81"/>
      <c r="M6" s="81"/>
      <c r="N6" s="43"/>
      <c r="O6" s="43"/>
      <c r="P6" s="26"/>
      <c r="Q6" s="26"/>
      <c r="R6" s="26"/>
      <c r="S6" s="26"/>
      <c r="T6" s="26"/>
      <c r="U6" s="26"/>
      <c r="V6" s="26"/>
      <c r="W6" s="26"/>
      <c r="X6" s="26"/>
    </row>
    <row r="7" spans="1:24" ht="25.5" customHeight="1">
      <c r="A7" s="22">
        <v>4</v>
      </c>
      <c r="B7" s="52">
        <v>1823020314</v>
      </c>
      <c r="C7" s="83"/>
      <c r="D7" s="112"/>
      <c r="E7" s="83"/>
      <c r="F7" s="83"/>
      <c r="G7" s="83"/>
      <c r="H7" s="83"/>
      <c r="I7" s="83"/>
      <c r="J7" s="83"/>
      <c r="K7" s="83"/>
      <c r="L7" s="60"/>
      <c r="M7" s="60"/>
      <c r="N7" s="74"/>
      <c r="O7" s="43"/>
      <c r="P7" s="26"/>
      <c r="Q7" s="26"/>
      <c r="R7" s="26"/>
      <c r="S7" s="26"/>
      <c r="T7" s="26"/>
      <c r="U7" s="26"/>
      <c r="V7" s="26"/>
      <c r="W7" s="26"/>
      <c r="X7" s="26"/>
    </row>
    <row r="8" spans="1:29" ht="17.25" customHeight="1">
      <c r="A8" s="22">
        <v>5</v>
      </c>
      <c r="B8" s="46">
        <v>1823020302</v>
      </c>
      <c r="C8" s="83"/>
      <c r="D8" s="112"/>
      <c r="E8" s="83"/>
      <c r="F8" s="83"/>
      <c r="G8" s="83"/>
      <c r="H8" s="83"/>
      <c r="I8" s="83"/>
      <c r="J8" s="83"/>
      <c r="K8" s="83"/>
      <c r="L8" s="60"/>
      <c r="M8" s="60"/>
      <c r="N8" s="43"/>
      <c r="O8" s="43"/>
      <c r="P8" s="26"/>
      <c r="Q8" s="26"/>
      <c r="R8" s="26"/>
      <c r="S8" s="26"/>
      <c r="T8" s="26"/>
      <c r="U8" s="26"/>
      <c r="V8" s="26"/>
      <c r="W8" s="26"/>
      <c r="X8" s="26"/>
      <c r="AB8" s="21">
        <f>COUNTIF(C8:S8,2)</f>
        <v>0</v>
      </c>
      <c r="AC8" s="21">
        <f>COUNTIF(C8:S8,"&lt;=3")</f>
        <v>0</v>
      </c>
    </row>
    <row r="9" spans="1:29" ht="33" customHeight="1">
      <c r="A9" s="22">
        <v>6</v>
      </c>
      <c r="B9" s="46">
        <v>1823020303</v>
      </c>
      <c r="C9" s="83"/>
      <c r="D9" s="112"/>
      <c r="E9" s="83"/>
      <c r="F9" s="83"/>
      <c r="G9" s="83"/>
      <c r="H9" s="83"/>
      <c r="I9" s="83"/>
      <c r="J9" s="83"/>
      <c r="K9" s="83"/>
      <c r="L9" s="82"/>
      <c r="M9" s="82"/>
      <c r="N9" s="43"/>
      <c r="O9" s="43"/>
      <c r="P9" s="26"/>
      <c r="Q9" s="26"/>
      <c r="R9" s="26"/>
      <c r="S9" s="26"/>
      <c r="T9" s="26"/>
      <c r="U9" s="26"/>
      <c r="V9" s="26"/>
      <c r="W9" s="26"/>
      <c r="X9" s="26"/>
      <c r="AB9" s="21">
        <f>COUNTIF(C9:S9,2)</f>
        <v>0</v>
      </c>
      <c r="AC9" s="21">
        <f>COUNTIF(C9:S9,"&lt;=3")</f>
        <v>0</v>
      </c>
    </row>
    <row r="10" spans="1:24" ht="33" customHeight="1">
      <c r="A10" s="22">
        <v>7</v>
      </c>
      <c r="B10" s="46">
        <v>1940020104</v>
      </c>
      <c r="C10" s="83"/>
      <c r="D10" s="112"/>
      <c r="E10" s="83"/>
      <c r="F10" s="83"/>
      <c r="G10" s="83"/>
      <c r="H10" s="80"/>
      <c r="I10" s="80"/>
      <c r="J10" s="83"/>
      <c r="K10" s="74"/>
      <c r="L10" s="52"/>
      <c r="M10" s="52"/>
      <c r="N10" s="74"/>
      <c r="O10" s="43"/>
      <c r="P10" s="26"/>
      <c r="Q10" s="26"/>
      <c r="R10" s="26"/>
      <c r="S10" s="26"/>
      <c r="T10" s="26"/>
      <c r="U10" s="26"/>
      <c r="V10" s="26"/>
      <c r="W10" s="26"/>
      <c r="X10" s="26"/>
    </row>
    <row r="11" spans="1:29" ht="19.5" customHeight="1">
      <c r="A11" s="22">
        <v>8</v>
      </c>
      <c r="B11" s="46">
        <v>1823020310</v>
      </c>
      <c r="C11" s="83"/>
      <c r="D11" s="112"/>
      <c r="E11" s="83"/>
      <c r="F11" s="83"/>
      <c r="G11" s="83"/>
      <c r="H11" s="83"/>
      <c r="I11" s="83"/>
      <c r="J11" s="83"/>
      <c r="K11" s="83"/>
      <c r="L11" s="81"/>
      <c r="M11" s="81"/>
      <c r="N11" s="43"/>
      <c r="O11" s="43"/>
      <c r="P11" s="26"/>
      <c r="Q11" s="26"/>
      <c r="R11" s="26"/>
      <c r="S11" s="26"/>
      <c r="T11" s="26"/>
      <c r="U11" s="26"/>
      <c r="V11" s="26"/>
      <c r="W11" s="26"/>
      <c r="X11" s="26"/>
      <c r="AB11" s="21">
        <f>COUNTIF(C11:S11,2)</f>
        <v>0</v>
      </c>
      <c r="AC11" s="21">
        <f>COUNTIF(C11:S11,"&lt;=3")</f>
        <v>0</v>
      </c>
    </row>
    <row r="12" spans="1:24" ht="12.75">
      <c r="A12" s="23"/>
      <c r="B12" s="49" t="s">
        <v>7</v>
      </c>
      <c r="C12" s="24"/>
      <c r="D12" s="50"/>
      <c r="E12" s="50"/>
      <c r="F12" s="50"/>
      <c r="G12" s="24"/>
      <c r="H12" s="76"/>
      <c r="I12" s="24"/>
      <c r="J12" s="24"/>
      <c r="K12" s="24"/>
      <c r="L12" s="77"/>
      <c r="M12" s="24"/>
      <c r="N12" s="24"/>
      <c r="O12" s="24"/>
      <c r="P12" s="24"/>
      <c r="Q12" s="24"/>
      <c r="R12" s="24"/>
      <c r="S12" s="24"/>
      <c r="T12" s="24"/>
      <c r="U12" s="50"/>
      <c r="V12" s="30">
        <f>SUM(V4:V11)</f>
        <v>0</v>
      </c>
      <c r="W12" s="30">
        <f>SUM(W4:W11)</f>
        <v>0</v>
      </c>
      <c r="X12" s="30">
        <f>SUM(X4:X11)</f>
        <v>0</v>
      </c>
    </row>
    <row r="13" spans="1:24" ht="12.75">
      <c r="A13" s="67" t="s">
        <v>92</v>
      </c>
      <c r="B13" s="68"/>
      <c r="C13" s="67"/>
      <c r="D13" s="67"/>
      <c r="E13" s="67"/>
      <c r="F13" s="67"/>
      <c r="G13" s="67"/>
      <c r="H13" s="38" t="s">
        <v>83</v>
      </c>
      <c r="I13" s="38"/>
      <c r="J13" s="38"/>
      <c r="K13" s="38"/>
      <c r="L13" s="38"/>
      <c r="M13" s="66"/>
      <c r="N13" s="38"/>
      <c r="O13" s="38" t="s">
        <v>56</v>
      </c>
      <c r="P13" s="38"/>
      <c r="Q13" s="38"/>
      <c r="R13" s="38"/>
      <c r="S13" s="38" t="s">
        <v>82</v>
      </c>
      <c r="T13" s="38" t="s">
        <v>57</v>
      </c>
      <c r="U13" s="38"/>
      <c r="V13" s="66"/>
      <c r="W13" s="38"/>
      <c r="X13" s="38"/>
    </row>
    <row r="14" spans="1:25" ht="12.75">
      <c r="A14" s="25" t="s">
        <v>105</v>
      </c>
      <c r="B14" s="25"/>
      <c r="C14" s="25"/>
      <c r="D14" s="25"/>
      <c r="E14" s="25"/>
      <c r="F14" s="25"/>
      <c r="G14" s="25"/>
      <c r="H14" s="38"/>
      <c r="I14" s="38" t="s">
        <v>62</v>
      </c>
      <c r="J14" s="38"/>
      <c r="K14" s="38"/>
      <c r="L14" s="38"/>
      <c r="M14" s="66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41"/>
    </row>
    <row r="15" spans="1:24" ht="12.75">
      <c r="A15" s="31" t="s">
        <v>61</v>
      </c>
      <c r="B15" s="25"/>
      <c r="C15" s="25"/>
      <c r="D15" s="25"/>
      <c r="E15" s="25"/>
      <c r="F15" s="25"/>
      <c r="G15" s="25"/>
      <c r="H15" s="31" t="s">
        <v>5</v>
      </c>
      <c r="I15" s="31"/>
      <c r="J15" s="31"/>
      <c r="K15" s="31"/>
      <c r="L15" s="31"/>
      <c r="M15" s="31"/>
      <c r="N15" s="31"/>
      <c r="O15" s="31"/>
      <c r="P15" s="25"/>
      <c r="Q15" s="25"/>
      <c r="R15" s="25"/>
      <c r="S15" s="129" t="s">
        <v>6</v>
      </c>
      <c r="T15" s="129"/>
      <c r="U15" s="129"/>
      <c r="V15" s="129"/>
      <c r="W15" s="129"/>
      <c r="X15" s="25"/>
    </row>
  </sheetData>
  <sheetProtection/>
  <mergeCells count="3">
    <mergeCell ref="A1:X1"/>
    <mergeCell ref="A2:X2"/>
    <mergeCell ref="S15:W1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3.25390625" style="21" customWidth="1"/>
    <col min="2" max="2" width="30.125" style="21" customWidth="1"/>
    <col min="3" max="3" width="19.625" style="21" customWidth="1"/>
    <col min="4" max="4" width="3.00390625" style="21" customWidth="1"/>
    <col min="5" max="5" width="3.125" style="21" customWidth="1"/>
    <col min="6" max="6" width="3.375" style="21" customWidth="1"/>
    <col min="7" max="7" width="5.00390625" style="21" customWidth="1"/>
    <col min="8" max="8" width="5.125" style="21" customWidth="1"/>
    <col min="9" max="9" width="4.75390625" style="21" customWidth="1"/>
    <col min="10" max="10" width="3.375" style="21" customWidth="1"/>
    <col min="11" max="11" width="5.125" style="21" customWidth="1"/>
    <col min="12" max="19" width="3.375" style="21" customWidth="1"/>
    <col min="20" max="24" width="6.875" style="21" customWidth="1"/>
    <col min="25" max="25" width="9.125" style="21" customWidth="1"/>
    <col min="26" max="33" width="10.375" style="21" hidden="1" customWidth="1"/>
    <col min="34" max="38" width="10.375" style="21" customWidth="1"/>
    <col min="39" max="16384" width="9.125" style="21" customWidth="1"/>
  </cols>
  <sheetData>
    <row r="1" spans="1:32" ht="24.75" customHeight="1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AD1" s="21" t="s">
        <v>58</v>
      </c>
      <c r="AE1" s="21" t="s">
        <v>22</v>
      </c>
      <c r="AF1" s="21" t="s">
        <v>23</v>
      </c>
    </row>
    <row r="2" spans="1:32" ht="12.75">
      <c r="A2" s="128" t="s">
        <v>115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AD2" s="21">
        <v>3002</v>
      </c>
      <c r="AE2" s="21">
        <v>158</v>
      </c>
      <c r="AF2" s="21">
        <v>19</v>
      </c>
    </row>
    <row r="3" spans="1:24" ht="154.5" customHeight="1">
      <c r="A3" s="27" t="s">
        <v>0</v>
      </c>
      <c r="B3" s="45" t="s">
        <v>59</v>
      </c>
      <c r="C3" s="45" t="s">
        <v>81</v>
      </c>
      <c r="D3" s="5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8"/>
      <c r="R3" s="44"/>
      <c r="S3" s="28"/>
      <c r="T3" s="28" t="s">
        <v>9</v>
      </c>
      <c r="U3" s="28" t="s">
        <v>8</v>
      </c>
      <c r="V3" s="28" t="s">
        <v>4</v>
      </c>
      <c r="W3" s="28" t="s">
        <v>3</v>
      </c>
      <c r="X3" s="28" t="s">
        <v>2</v>
      </c>
    </row>
    <row r="4" spans="1:24" ht="17.25" customHeight="1">
      <c r="A4" s="22">
        <v>1</v>
      </c>
      <c r="B4" s="57" t="s">
        <v>88</v>
      </c>
      <c r="C4" s="51">
        <v>1938020101</v>
      </c>
      <c r="D4" s="113"/>
      <c r="E4" s="113"/>
      <c r="F4" s="1"/>
      <c r="G4" s="1"/>
      <c r="H4" s="80"/>
      <c r="I4" s="74"/>
      <c r="J4" s="62"/>
      <c r="K4" s="61"/>
      <c r="L4" s="69"/>
      <c r="M4" s="69"/>
      <c r="N4" s="69"/>
      <c r="O4" s="69"/>
      <c r="P4" s="26"/>
      <c r="Q4" s="26"/>
      <c r="R4" s="26"/>
      <c r="S4" s="26"/>
      <c r="T4" s="26"/>
      <c r="U4" s="26"/>
      <c r="V4" s="26"/>
      <c r="W4" s="26"/>
      <c r="X4" s="26"/>
    </row>
    <row r="5" spans="1:29" ht="17.25" customHeight="1">
      <c r="A5" s="22">
        <v>2</v>
      </c>
      <c r="B5" s="57" t="s">
        <v>84</v>
      </c>
      <c r="C5" s="46">
        <v>1938020102</v>
      </c>
      <c r="D5" s="113"/>
      <c r="E5" s="113"/>
      <c r="F5" s="1"/>
      <c r="G5" s="1"/>
      <c r="H5" s="80"/>
      <c r="I5" s="74"/>
      <c r="J5" s="62"/>
      <c r="K5" s="61"/>
      <c r="L5" s="43"/>
      <c r="M5" s="43"/>
      <c r="N5" s="43"/>
      <c r="O5" s="43"/>
      <c r="P5" s="26"/>
      <c r="Q5" s="26"/>
      <c r="R5" s="26"/>
      <c r="S5" s="26"/>
      <c r="T5" s="26"/>
      <c r="U5" s="26"/>
      <c r="V5" s="26"/>
      <c r="W5" s="26"/>
      <c r="X5" s="26"/>
      <c r="AB5" s="21">
        <f aca="true" t="shared" si="0" ref="AB5:AB10">COUNTIF(F5:S5,2)</f>
        <v>0</v>
      </c>
      <c r="AC5" s="21">
        <f aca="true" t="shared" si="1" ref="AC5:AC10">COUNTIF(F5:S5,"&lt;=3")</f>
        <v>0</v>
      </c>
    </row>
    <row r="6" spans="1:29" ht="33" customHeight="1">
      <c r="A6" s="22">
        <v>3</v>
      </c>
      <c r="B6" s="47" t="s">
        <v>85</v>
      </c>
      <c r="C6" s="46">
        <v>1823020304</v>
      </c>
      <c r="D6" s="113"/>
      <c r="E6" s="113"/>
      <c r="F6" s="1"/>
      <c r="G6" s="1"/>
      <c r="H6" s="80"/>
      <c r="I6" s="74"/>
      <c r="J6" s="62"/>
      <c r="K6" s="61"/>
      <c r="L6" s="43"/>
      <c r="M6" s="43"/>
      <c r="N6" s="43"/>
      <c r="O6" s="43"/>
      <c r="P6" s="26"/>
      <c r="Q6" s="26"/>
      <c r="R6" s="26"/>
      <c r="S6" s="26"/>
      <c r="T6" s="26"/>
      <c r="U6" s="26"/>
      <c r="V6" s="26"/>
      <c r="W6" s="26"/>
      <c r="X6" s="26"/>
      <c r="AB6" s="21">
        <f t="shared" si="0"/>
        <v>0</v>
      </c>
      <c r="AC6" s="21">
        <f t="shared" si="1"/>
        <v>0</v>
      </c>
    </row>
    <row r="7" spans="1:24" ht="19.5" customHeight="1">
      <c r="A7" s="22">
        <v>4</v>
      </c>
      <c r="B7" s="47" t="s">
        <v>90</v>
      </c>
      <c r="C7" s="48">
        <v>1823020313</v>
      </c>
      <c r="D7" s="113"/>
      <c r="E7" s="113"/>
      <c r="F7" s="1"/>
      <c r="G7" s="1"/>
      <c r="H7" s="80"/>
      <c r="I7" s="74"/>
      <c r="J7" s="74"/>
      <c r="K7" s="62"/>
      <c r="L7" s="43"/>
      <c r="M7" s="43"/>
      <c r="N7" s="43"/>
      <c r="O7" s="43"/>
      <c r="P7" s="26"/>
      <c r="Q7" s="26"/>
      <c r="R7" s="26"/>
      <c r="S7" s="26"/>
      <c r="T7" s="26"/>
      <c r="U7" s="26"/>
      <c r="V7" s="26"/>
      <c r="W7" s="26"/>
      <c r="X7" s="26"/>
    </row>
    <row r="8" spans="1:29" ht="19.5" customHeight="1">
      <c r="A8" s="22">
        <v>5</v>
      </c>
      <c r="B8" s="47" t="s">
        <v>89</v>
      </c>
      <c r="C8" s="48">
        <v>1823020308</v>
      </c>
      <c r="D8" s="113"/>
      <c r="E8" s="113"/>
      <c r="F8" s="1"/>
      <c r="G8" s="1"/>
      <c r="H8" s="80"/>
      <c r="I8" s="74"/>
      <c r="J8" s="74"/>
      <c r="K8" s="61"/>
      <c r="L8" s="43"/>
      <c r="M8" s="43"/>
      <c r="N8" s="43"/>
      <c r="O8" s="43"/>
      <c r="P8" s="26"/>
      <c r="Q8" s="26"/>
      <c r="R8" s="26"/>
      <c r="S8" s="26"/>
      <c r="T8" s="26"/>
      <c r="U8" s="26"/>
      <c r="V8" s="26"/>
      <c r="W8" s="26"/>
      <c r="X8" s="26"/>
      <c r="AB8" s="21">
        <f t="shared" si="0"/>
        <v>0</v>
      </c>
      <c r="AC8" s="21">
        <f t="shared" si="1"/>
        <v>0</v>
      </c>
    </row>
    <row r="9" spans="1:29" ht="19.5" customHeight="1">
      <c r="A9" s="22">
        <v>6</v>
      </c>
      <c r="B9" s="47" t="s">
        <v>86</v>
      </c>
      <c r="C9" s="46">
        <v>1823020311</v>
      </c>
      <c r="D9" s="113"/>
      <c r="E9" s="113"/>
      <c r="F9" s="1"/>
      <c r="G9" s="1"/>
      <c r="H9" s="80"/>
      <c r="I9" s="74"/>
      <c r="J9" s="62"/>
      <c r="K9" s="61"/>
      <c r="L9" s="43"/>
      <c r="M9" s="43"/>
      <c r="N9" s="43"/>
      <c r="O9" s="43"/>
      <c r="P9" s="26"/>
      <c r="Q9" s="26"/>
      <c r="R9" s="26"/>
      <c r="S9" s="26"/>
      <c r="T9" s="26"/>
      <c r="U9" s="26"/>
      <c r="V9" s="26"/>
      <c r="W9" s="26"/>
      <c r="X9" s="26"/>
      <c r="AB9" s="21">
        <f t="shared" si="0"/>
        <v>0</v>
      </c>
      <c r="AC9" s="21">
        <f t="shared" si="1"/>
        <v>0</v>
      </c>
    </row>
    <row r="10" spans="1:29" ht="18.75" customHeight="1">
      <c r="A10" s="22">
        <v>7</v>
      </c>
      <c r="B10" s="47" t="s">
        <v>87</v>
      </c>
      <c r="C10" s="46">
        <v>1823020312</v>
      </c>
      <c r="D10" s="113"/>
      <c r="E10" s="113"/>
      <c r="F10" s="1"/>
      <c r="G10" s="1"/>
      <c r="H10" s="80"/>
      <c r="I10" s="74"/>
      <c r="J10" s="78"/>
      <c r="K10" s="63"/>
      <c r="L10" s="42"/>
      <c r="M10" s="42"/>
      <c r="N10" s="42"/>
      <c r="O10" s="42"/>
      <c r="P10" s="26"/>
      <c r="Q10" s="26"/>
      <c r="R10" s="26"/>
      <c r="S10" s="26"/>
      <c r="T10" s="26"/>
      <c r="U10" s="26"/>
      <c r="V10" s="26"/>
      <c r="W10" s="26"/>
      <c r="X10" s="26"/>
      <c r="AB10" s="21">
        <f t="shared" si="0"/>
        <v>0</v>
      </c>
      <c r="AC10" s="21">
        <f t="shared" si="1"/>
        <v>0</v>
      </c>
    </row>
    <row r="11" spans="1:24" ht="15">
      <c r="A11" s="23"/>
      <c r="B11" s="49" t="s">
        <v>7</v>
      </c>
      <c r="C11" s="49" t="s">
        <v>7</v>
      </c>
      <c r="D11" s="83"/>
      <c r="E11" s="112"/>
      <c r="F11" s="83"/>
      <c r="G11" s="24"/>
      <c r="H11" s="24"/>
      <c r="I11" s="24"/>
      <c r="J11" s="79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0"/>
      <c r="V11" s="30">
        <f>SUM(V4:V10)</f>
        <v>0</v>
      </c>
      <c r="W11" s="30">
        <f>SUM(W4:W10)</f>
        <v>0</v>
      </c>
      <c r="X11" s="30">
        <f>SUM(X4:X10)</f>
        <v>0</v>
      </c>
    </row>
    <row r="12" spans="1:24" ht="12.75">
      <c r="A12" s="67" t="s">
        <v>92</v>
      </c>
      <c r="B12" s="67"/>
      <c r="C12" s="68">
        <v>0</v>
      </c>
      <c r="D12" s="67"/>
      <c r="E12" s="67"/>
      <c r="F12" s="67"/>
      <c r="G12" s="38" t="s">
        <v>83</v>
      </c>
      <c r="H12" s="38"/>
      <c r="I12" s="38"/>
      <c r="J12" s="38"/>
      <c r="K12" s="66">
        <v>1</v>
      </c>
      <c r="L12" s="38"/>
      <c r="M12" s="38" t="s">
        <v>56</v>
      </c>
      <c r="N12" s="38"/>
      <c r="O12" s="38"/>
      <c r="P12" s="38"/>
      <c r="Q12" s="38"/>
      <c r="R12" s="38">
        <v>0</v>
      </c>
      <c r="S12" s="38" t="s">
        <v>82</v>
      </c>
      <c r="T12" s="38" t="s">
        <v>57</v>
      </c>
      <c r="U12" s="38"/>
      <c r="V12" s="66">
        <v>1</v>
      </c>
      <c r="W12" s="38"/>
      <c r="X12" s="38"/>
    </row>
    <row r="13" spans="1:25" ht="12.75">
      <c r="A13" s="25" t="s">
        <v>104</v>
      </c>
      <c r="B13" s="25"/>
      <c r="C13" s="25"/>
      <c r="D13" s="25"/>
      <c r="E13" s="25"/>
      <c r="F13" s="25"/>
      <c r="G13" s="38"/>
      <c r="H13" s="38" t="s">
        <v>62</v>
      </c>
      <c r="I13" s="38"/>
      <c r="J13" s="38"/>
      <c r="K13" s="66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1"/>
    </row>
    <row r="14" spans="1:24" ht="12.75">
      <c r="A14" s="31" t="s">
        <v>61</v>
      </c>
      <c r="B14" s="25"/>
      <c r="C14" s="25"/>
      <c r="D14" s="25"/>
      <c r="E14" s="25"/>
      <c r="F14" s="25"/>
      <c r="G14" s="31" t="s">
        <v>5</v>
      </c>
      <c r="H14" s="31"/>
      <c r="I14" s="31"/>
      <c r="J14" s="31"/>
      <c r="K14" s="31"/>
      <c r="L14" s="31"/>
      <c r="M14" s="31"/>
      <c r="N14" s="25"/>
      <c r="O14" s="25"/>
      <c r="P14" s="25"/>
      <c r="Q14" s="25"/>
      <c r="R14" s="25"/>
      <c r="S14" s="129" t="s">
        <v>6</v>
      </c>
      <c r="T14" s="129"/>
      <c r="U14" s="129"/>
      <c r="V14" s="129"/>
      <c r="W14" s="129"/>
      <c r="X14" s="25"/>
    </row>
  </sheetData>
  <sheetProtection/>
  <mergeCells count="3">
    <mergeCell ref="A1:X1"/>
    <mergeCell ref="A2:X2"/>
    <mergeCell ref="S14:W1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zoomScale="88" zoomScaleNormal="88" zoomScalePageLayoutView="0" workbookViewId="0" topLeftCell="A1">
      <selection activeCell="A2" sqref="A2:T2"/>
    </sheetView>
  </sheetViews>
  <sheetFormatPr defaultColWidth="9.00390625" defaultRowHeight="12.75"/>
  <cols>
    <col min="1" max="1" width="3.25390625" style="21" customWidth="1"/>
    <col min="2" max="2" width="19.625" style="21" customWidth="1"/>
    <col min="3" max="6" width="3.375" style="21" customWidth="1"/>
    <col min="7" max="7" width="4.375" style="21" customWidth="1"/>
    <col min="8" max="8" width="8.00390625" style="21" customWidth="1"/>
    <col min="9" max="9" width="4.125" style="21" customWidth="1"/>
    <col min="10" max="10" width="5.00390625" style="21" customWidth="1"/>
    <col min="11" max="11" width="4.75390625" style="21" customWidth="1"/>
    <col min="12" max="13" width="3.375" style="21" customWidth="1"/>
    <col min="14" max="14" width="5.25390625" style="21" customWidth="1"/>
    <col min="15" max="15" width="3.375" style="21" customWidth="1"/>
    <col min="16" max="20" width="6.875" style="21" customWidth="1"/>
    <col min="21" max="21" width="9.125" style="21" customWidth="1"/>
    <col min="22" max="29" width="10.375" style="21" hidden="1" customWidth="1"/>
    <col min="30" max="34" width="10.375" style="21" customWidth="1"/>
    <col min="35" max="16384" width="9.125" style="21" customWidth="1"/>
  </cols>
  <sheetData>
    <row r="1" spans="1:28" ht="12.75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Z1" s="21" t="s">
        <v>58</v>
      </c>
      <c r="AA1" s="21" t="s">
        <v>22</v>
      </c>
      <c r="AB1" s="21" t="s">
        <v>23</v>
      </c>
    </row>
    <row r="2" spans="1:28" ht="12.75">
      <c r="A2" s="128" t="s">
        <v>114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Z2" s="21">
        <v>3002</v>
      </c>
      <c r="AA2" s="21">
        <v>158</v>
      </c>
      <c r="AB2" s="21">
        <v>19</v>
      </c>
    </row>
    <row r="3" spans="1:20" ht="135" customHeight="1">
      <c r="A3" s="27" t="s">
        <v>0</v>
      </c>
      <c r="B3" s="45" t="s">
        <v>81</v>
      </c>
      <c r="C3" s="103" t="s">
        <v>101</v>
      </c>
      <c r="D3" s="72" t="s">
        <v>12</v>
      </c>
      <c r="E3" s="72" t="s">
        <v>21</v>
      </c>
      <c r="F3" s="72" t="s">
        <v>19</v>
      </c>
      <c r="G3" s="115" t="s">
        <v>98</v>
      </c>
      <c r="H3" s="23"/>
      <c r="I3" s="75"/>
      <c r="J3" s="103"/>
      <c r="K3" s="72"/>
      <c r="L3" s="75"/>
      <c r="M3" s="72"/>
      <c r="N3" s="72" t="s">
        <v>102</v>
      </c>
      <c r="P3" s="28" t="s">
        <v>9</v>
      </c>
      <c r="Q3" s="28" t="s">
        <v>8</v>
      </c>
      <c r="R3" s="28" t="s">
        <v>4</v>
      </c>
      <c r="S3" s="28" t="s">
        <v>3</v>
      </c>
      <c r="T3" s="28" t="s">
        <v>2</v>
      </c>
    </row>
    <row r="4" spans="1:25" ht="31.5" customHeight="1">
      <c r="A4" s="22">
        <v>1</v>
      </c>
      <c r="B4" s="86">
        <v>2040020101</v>
      </c>
      <c r="C4" s="64">
        <v>4</v>
      </c>
      <c r="D4" s="117">
        <v>5</v>
      </c>
      <c r="E4" s="60">
        <v>4</v>
      </c>
      <c r="F4" s="43">
        <v>5</v>
      </c>
      <c r="G4" s="118" t="s">
        <v>93</v>
      </c>
      <c r="H4" s="23"/>
      <c r="I4" s="65"/>
      <c r="J4" s="65"/>
      <c r="K4" s="101"/>
      <c r="L4" s="108"/>
      <c r="M4" s="65"/>
      <c r="N4" s="65"/>
      <c r="O4" s="64"/>
      <c r="P4" s="26"/>
      <c r="Q4" s="26"/>
      <c r="R4" s="26"/>
      <c r="S4" s="26"/>
      <c r="T4" s="26"/>
      <c r="X4" s="21">
        <f>COUNTIF(C4:O4,2)</f>
        <v>0</v>
      </c>
      <c r="Y4" s="21">
        <f aca="true" t="shared" si="0" ref="Y4:Y18">COUNTIF(C4:O4,"&lt;=3")</f>
        <v>0</v>
      </c>
    </row>
    <row r="5" spans="1:20" ht="33" customHeight="1">
      <c r="A5" s="22">
        <v>2</v>
      </c>
      <c r="B5" s="86">
        <v>1923020304</v>
      </c>
      <c r="C5" s="64">
        <v>4</v>
      </c>
      <c r="D5" s="117">
        <v>4</v>
      </c>
      <c r="E5" s="60">
        <v>4</v>
      </c>
      <c r="F5" s="43">
        <v>5</v>
      </c>
      <c r="G5" s="118" t="s">
        <v>100</v>
      </c>
      <c r="H5" s="23"/>
      <c r="I5" s="65"/>
      <c r="J5" s="65"/>
      <c r="K5" s="101"/>
      <c r="L5" s="108"/>
      <c r="M5" s="65"/>
      <c r="N5" s="65"/>
      <c r="O5" s="64"/>
      <c r="P5" s="26"/>
      <c r="Q5" s="26"/>
      <c r="R5" s="26"/>
      <c r="S5" s="26"/>
      <c r="T5" s="26"/>
    </row>
    <row r="6" spans="1:20" ht="15.75">
      <c r="A6" s="22">
        <v>3</v>
      </c>
      <c r="B6" s="86">
        <v>1923020305</v>
      </c>
      <c r="C6" s="64">
        <v>4</v>
      </c>
      <c r="D6" s="117">
        <v>3</v>
      </c>
      <c r="E6" s="60">
        <v>4</v>
      </c>
      <c r="F6" s="121">
        <v>2</v>
      </c>
      <c r="G6" s="118" t="s">
        <v>100</v>
      </c>
      <c r="H6" s="23"/>
      <c r="I6" s="65"/>
      <c r="J6" s="65"/>
      <c r="K6" s="101"/>
      <c r="L6" s="108"/>
      <c r="M6" s="65"/>
      <c r="N6" s="65"/>
      <c r="O6" s="64"/>
      <c r="P6" s="26"/>
      <c r="Q6" s="26"/>
      <c r="R6" s="26">
        <v>2</v>
      </c>
      <c r="S6" s="26"/>
      <c r="T6" s="26">
        <v>2</v>
      </c>
    </row>
    <row r="7" spans="1:25" ht="21.75" customHeight="1">
      <c r="A7" s="22">
        <v>4</v>
      </c>
      <c r="B7" s="86">
        <v>1923020306</v>
      </c>
      <c r="C7" s="64">
        <v>4</v>
      </c>
      <c r="D7" s="117">
        <v>4</v>
      </c>
      <c r="E7" s="60">
        <v>3</v>
      </c>
      <c r="F7" s="121">
        <v>2</v>
      </c>
      <c r="G7" s="118" t="s">
        <v>100</v>
      </c>
      <c r="H7" s="23"/>
      <c r="I7" s="65"/>
      <c r="J7" s="65"/>
      <c r="K7" s="101"/>
      <c r="L7" s="108"/>
      <c r="M7" s="65"/>
      <c r="N7" s="65"/>
      <c r="O7" s="64"/>
      <c r="P7" s="26"/>
      <c r="Q7" s="26"/>
      <c r="R7" s="26">
        <v>1</v>
      </c>
      <c r="S7" s="26"/>
      <c r="T7" s="26">
        <v>1</v>
      </c>
      <c r="X7" s="21">
        <f>COUNTIF(C7:O7,2)</f>
        <v>1</v>
      </c>
      <c r="Y7" s="21">
        <f t="shared" si="0"/>
        <v>2</v>
      </c>
    </row>
    <row r="8" spans="1:25" ht="18.75" customHeight="1">
      <c r="A8" s="22">
        <v>5</v>
      </c>
      <c r="B8" s="86">
        <v>1923020307</v>
      </c>
      <c r="C8" s="64">
        <v>4</v>
      </c>
      <c r="D8" s="117">
        <v>4</v>
      </c>
      <c r="E8" s="60">
        <v>4</v>
      </c>
      <c r="F8" s="121">
        <v>2</v>
      </c>
      <c r="G8" s="118" t="s">
        <v>100</v>
      </c>
      <c r="H8" s="23"/>
      <c r="I8" s="65"/>
      <c r="J8" s="65"/>
      <c r="K8" s="101"/>
      <c r="L8" s="108"/>
      <c r="M8" s="65"/>
      <c r="N8" s="65"/>
      <c r="O8" s="64"/>
      <c r="P8" s="26"/>
      <c r="Q8" s="26"/>
      <c r="R8" s="26">
        <v>3</v>
      </c>
      <c r="S8" s="26">
        <v>3</v>
      </c>
      <c r="T8" s="26"/>
      <c r="X8" s="21">
        <f>COUNTIF(C8:O8,2)</f>
        <v>1</v>
      </c>
      <c r="Y8" s="21">
        <f t="shared" si="0"/>
        <v>1</v>
      </c>
    </row>
    <row r="9" spans="1:20" ht="18.75" customHeight="1">
      <c r="A9" s="22">
        <v>6</v>
      </c>
      <c r="B9" s="86">
        <v>1923020308</v>
      </c>
      <c r="C9" s="64">
        <v>4</v>
      </c>
      <c r="D9" s="117">
        <v>4</v>
      </c>
      <c r="E9" s="60">
        <v>3</v>
      </c>
      <c r="F9" s="43">
        <v>5</v>
      </c>
      <c r="G9" s="118" t="s">
        <v>99</v>
      </c>
      <c r="H9" s="23"/>
      <c r="I9" s="65"/>
      <c r="J9" s="65"/>
      <c r="K9" s="101"/>
      <c r="L9" s="108"/>
      <c r="M9" s="65"/>
      <c r="N9" s="65"/>
      <c r="O9" s="64"/>
      <c r="P9" s="26"/>
      <c r="Q9" s="26"/>
      <c r="R9" s="26"/>
      <c r="S9" s="26"/>
      <c r="T9" s="26"/>
    </row>
    <row r="10" spans="1:25" ht="32.25" customHeight="1">
      <c r="A10" s="22">
        <v>7</v>
      </c>
      <c r="B10" s="86">
        <v>1923020309</v>
      </c>
      <c r="C10" s="64">
        <v>4</v>
      </c>
      <c r="D10" s="117">
        <v>3</v>
      </c>
      <c r="E10" s="60">
        <v>4</v>
      </c>
      <c r="F10" s="121">
        <v>2</v>
      </c>
      <c r="G10" s="118" t="s">
        <v>100</v>
      </c>
      <c r="H10" s="23"/>
      <c r="I10" s="65"/>
      <c r="J10" s="65"/>
      <c r="K10" s="101"/>
      <c r="L10" s="108"/>
      <c r="M10" s="65"/>
      <c r="N10" s="65"/>
      <c r="O10" s="64"/>
      <c r="P10" s="26"/>
      <c r="Q10" s="26"/>
      <c r="R10" s="26"/>
      <c r="S10" s="26"/>
      <c r="T10" s="26"/>
      <c r="X10" s="21">
        <f aca="true" t="shared" si="1" ref="X10:X18">COUNTIF(C10:O10,2)</f>
        <v>1</v>
      </c>
      <c r="Y10" s="21">
        <f t="shared" si="0"/>
        <v>2</v>
      </c>
    </row>
    <row r="11" spans="1:25" ht="15.75">
      <c r="A11" s="22">
        <v>8</v>
      </c>
      <c r="B11" s="86">
        <v>1923020322</v>
      </c>
      <c r="C11" s="64">
        <v>4</v>
      </c>
      <c r="D11" s="117">
        <v>5</v>
      </c>
      <c r="E11" s="60">
        <v>3</v>
      </c>
      <c r="F11" s="121">
        <v>2</v>
      </c>
      <c r="G11" s="118" t="s">
        <v>93</v>
      </c>
      <c r="H11" s="23"/>
      <c r="I11" s="65"/>
      <c r="J11" s="65"/>
      <c r="K11" s="101"/>
      <c r="L11" s="108"/>
      <c r="M11" s="65"/>
      <c r="N11" s="65"/>
      <c r="O11" s="64"/>
      <c r="P11" s="26"/>
      <c r="Q11" s="26"/>
      <c r="R11" s="26">
        <v>4</v>
      </c>
      <c r="S11" s="26"/>
      <c r="T11" s="26">
        <v>4</v>
      </c>
      <c r="X11" s="21">
        <f t="shared" si="1"/>
        <v>1</v>
      </c>
      <c r="Y11" s="21">
        <f t="shared" si="0"/>
        <v>2</v>
      </c>
    </row>
    <row r="12" spans="1:25" ht="33.75" customHeight="1">
      <c r="A12" s="22">
        <v>9</v>
      </c>
      <c r="B12" s="86">
        <v>1923020312</v>
      </c>
      <c r="C12" s="64">
        <v>4</v>
      </c>
      <c r="D12" s="117">
        <v>4</v>
      </c>
      <c r="E12" s="60">
        <v>4</v>
      </c>
      <c r="F12" s="121">
        <v>2</v>
      </c>
      <c r="G12" s="118" t="s">
        <v>100</v>
      </c>
      <c r="H12" s="23"/>
      <c r="I12" s="65"/>
      <c r="J12" s="65"/>
      <c r="K12" s="101"/>
      <c r="L12" s="108"/>
      <c r="M12" s="65"/>
      <c r="N12" s="65"/>
      <c r="O12" s="64"/>
      <c r="P12" s="26"/>
      <c r="Q12" s="26"/>
      <c r="R12" s="26"/>
      <c r="S12" s="26"/>
      <c r="T12" s="26"/>
      <c r="X12" s="21">
        <f t="shared" si="1"/>
        <v>1</v>
      </c>
      <c r="Y12" s="21">
        <f t="shared" si="0"/>
        <v>1</v>
      </c>
    </row>
    <row r="13" spans="1:25" ht="31.5" customHeight="1">
      <c r="A13" s="22">
        <v>10</v>
      </c>
      <c r="B13" s="86">
        <v>1923020314</v>
      </c>
      <c r="C13" s="64">
        <v>4</v>
      </c>
      <c r="D13" s="117">
        <v>5</v>
      </c>
      <c r="E13" s="60">
        <v>4</v>
      </c>
      <c r="F13" s="121">
        <v>2</v>
      </c>
      <c r="G13" s="118" t="s">
        <v>100</v>
      </c>
      <c r="H13" s="23"/>
      <c r="I13" s="65"/>
      <c r="J13" s="65"/>
      <c r="K13" s="101"/>
      <c r="L13" s="108"/>
      <c r="M13" s="65"/>
      <c r="N13" s="109"/>
      <c r="O13" s="64"/>
      <c r="P13" s="26"/>
      <c r="Q13" s="26"/>
      <c r="R13" s="26"/>
      <c r="S13" s="26"/>
      <c r="T13" s="26"/>
      <c r="X13" s="21">
        <f t="shared" si="1"/>
        <v>1</v>
      </c>
      <c r="Y13" s="21">
        <f t="shared" si="0"/>
        <v>1</v>
      </c>
    </row>
    <row r="14" spans="1:25" ht="18" customHeight="1">
      <c r="A14" s="22">
        <v>11</v>
      </c>
      <c r="B14" s="86">
        <v>1923020315</v>
      </c>
      <c r="C14" s="64">
        <v>4</v>
      </c>
      <c r="D14" s="117">
        <v>5</v>
      </c>
      <c r="E14" s="60">
        <v>4</v>
      </c>
      <c r="F14" s="43">
        <v>5</v>
      </c>
      <c r="G14" s="118" t="s">
        <v>99</v>
      </c>
      <c r="H14" s="23"/>
      <c r="I14" s="65"/>
      <c r="J14" s="65"/>
      <c r="K14" s="101"/>
      <c r="L14" s="108"/>
      <c r="M14" s="65"/>
      <c r="N14" s="65"/>
      <c r="O14" s="64"/>
      <c r="P14" s="26"/>
      <c r="Q14" s="26"/>
      <c r="R14" s="26"/>
      <c r="S14" s="26"/>
      <c r="T14" s="26"/>
      <c r="X14" s="21">
        <f t="shared" si="1"/>
        <v>0</v>
      </c>
      <c r="Y14" s="21">
        <f t="shared" si="0"/>
        <v>0</v>
      </c>
    </row>
    <row r="15" spans="1:25" ht="18.75" customHeight="1">
      <c r="A15" s="22">
        <v>12</v>
      </c>
      <c r="B15" s="48">
        <v>1923020317</v>
      </c>
      <c r="C15" s="64">
        <v>4</v>
      </c>
      <c r="D15" s="117">
        <v>5</v>
      </c>
      <c r="E15" s="60">
        <v>5</v>
      </c>
      <c r="F15" s="121">
        <v>2</v>
      </c>
      <c r="G15" s="118" t="s">
        <v>100</v>
      </c>
      <c r="H15" s="23"/>
      <c r="I15" s="65"/>
      <c r="J15" s="65"/>
      <c r="K15" s="101"/>
      <c r="L15" s="108"/>
      <c r="M15" s="65"/>
      <c r="N15" s="65"/>
      <c r="O15" s="64"/>
      <c r="P15" s="26"/>
      <c r="Q15" s="26"/>
      <c r="R15" s="26"/>
      <c r="S15" s="26"/>
      <c r="T15" s="26"/>
      <c r="X15" s="21">
        <f t="shared" si="1"/>
        <v>1</v>
      </c>
      <c r="Y15" s="21">
        <f t="shared" si="0"/>
        <v>1</v>
      </c>
    </row>
    <row r="16" spans="1:25" ht="19.5" customHeight="1">
      <c r="A16" s="22">
        <v>13</v>
      </c>
      <c r="B16" s="86">
        <v>1923020318</v>
      </c>
      <c r="C16" s="64">
        <v>4</v>
      </c>
      <c r="D16" s="117">
        <v>5</v>
      </c>
      <c r="E16" s="60">
        <v>5</v>
      </c>
      <c r="F16" s="121">
        <v>2</v>
      </c>
      <c r="G16" s="118" t="s">
        <v>93</v>
      </c>
      <c r="H16" s="23"/>
      <c r="I16" s="65"/>
      <c r="J16" s="65"/>
      <c r="K16" s="101"/>
      <c r="L16" s="108"/>
      <c r="M16" s="65"/>
      <c r="N16" s="65"/>
      <c r="O16" s="64"/>
      <c r="P16" s="26"/>
      <c r="Q16" s="26"/>
      <c r="R16" s="26"/>
      <c r="S16" s="26"/>
      <c r="T16" s="26"/>
      <c r="X16" s="21">
        <f t="shared" si="1"/>
        <v>1</v>
      </c>
      <c r="Y16" s="21">
        <f t="shared" si="0"/>
        <v>1</v>
      </c>
    </row>
    <row r="17" spans="1:25" ht="33" customHeight="1">
      <c r="A17" s="22">
        <v>14</v>
      </c>
      <c r="B17" s="86">
        <v>1923020323</v>
      </c>
      <c r="C17" s="64">
        <v>4</v>
      </c>
      <c r="D17" s="117">
        <v>5</v>
      </c>
      <c r="E17" s="60">
        <v>4</v>
      </c>
      <c r="F17" s="121">
        <v>2</v>
      </c>
      <c r="G17" s="118" t="s">
        <v>93</v>
      </c>
      <c r="H17" s="23"/>
      <c r="I17" s="65"/>
      <c r="J17" s="65"/>
      <c r="K17" s="101"/>
      <c r="L17" s="108"/>
      <c r="M17" s="65"/>
      <c r="N17" s="104"/>
      <c r="O17" s="64"/>
      <c r="P17" s="26"/>
      <c r="Q17" s="26"/>
      <c r="R17" s="26"/>
      <c r="S17" s="26"/>
      <c r="T17" s="26"/>
      <c r="X17" s="21">
        <f t="shared" si="1"/>
        <v>1</v>
      </c>
      <c r="Y17" s="21">
        <f t="shared" si="0"/>
        <v>1</v>
      </c>
    </row>
    <row r="18" spans="1:25" ht="18.75" customHeight="1">
      <c r="A18" s="22">
        <v>15</v>
      </c>
      <c r="B18" s="86">
        <v>1923020320</v>
      </c>
      <c r="C18" s="64">
        <v>4</v>
      </c>
      <c r="D18" s="117">
        <v>5</v>
      </c>
      <c r="E18" s="60">
        <v>3</v>
      </c>
      <c r="F18" s="121">
        <v>2</v>
      </c>
      <c r="G18" s="118" t="s">
        <v>100</v>
      </c>
      <c r="H18" s="23"/>
      <c r="I18" s="65"/>
      <c r="J18" s="65"/>
      <c r="K18" s="101"/>
      <c r="L18" s="108"/>
      <c r="M18" s="65"/>
      <c r="N18" s="65"/>
      <c r="O18" s="64"/>
      <c r="P18" s="26"/>
      <c r="Q18" s="26"/>
      <c r="R18" s="26"/>
      <c r="S18" s="26"/>
      <c r="T18" s="26"/>
      <c r="X18" s="21">
        <f t="shared" si="1"/>
        <v>1</v>
      </c>
      <c r="Y18" s="21">
        <f t="shared" si="0"/>
        <v>2</v>
      </c>
    </row>
    <row r="19" spans="1:20" ht="12.75">
      <c r="A19" s="23"/>
      <c r="B19" s="49" t="s">
        <v>7</v>
      </c>
      <c r="C19" s="102"/>
      <c r="D19" s="102"/>
      <c r="E19" s="102"/>
      <c r="F19" s="102"/>
      <c r="G19" s="102"/>
      <c r="H19" s="102"/>
      <c r="I19" s="102"/>
      <c r="J19" s="102"/>
      <c r="K19" s="73"/>
      <c r="L19" s="73"/>
      <c r="M19" s="73"/>
      <c r="N19" s="24"/>
      <c r="O19" s="24"/>
      <c r="P19" s="24"/>
      <c r="Q19" s="50">
        <v>11</v>
      </c>
      <c r="R19" s="30">
        <f>SUM(R4:R18)</f>
        <v>10</v>
      </c>
      <c r="S19" s="30">
        <f>SUM(S4:S18)</f>
        <v>3</v>
      </c>
      <c r="T19" s="30">
        <f>SUM(T4:T18)</f>
        <v>7</v>
      </c>
    </row>
    <row r="20" spans="1:20" ht="12.75">
      <c r="A20" s="67" t="s">
        <v>92</v>
      </c>
      <c r="B20" s="68">
        <f>7/15</f>
        <v>0.4666666666666667</v>
      </c>
      <c r="C20" s="38" t="s">
        <v>83</v>
      </c>
      <c r="D20" s="38"/>
      <c r="E20" s="38"/>
      <c r="F20" s="38"/>
      <c r="G20" s="66"/>
      <c r="H20" s="66">
        <f>(1680-7)/1680</f>
        <v>0.9958333333333333</v>
      </c>
      <c r="I20" s="38"/>
      <c r="J20" s="38" t="s">
        <v>56</v>
      </c>
      <c r="K20" s="38"/>
      <c r="L20" s="38"/>
      <c r="M20" s="38"/>
      <c r="N20" s="38">
        <v>11</v>
      </c>
      <c r="O20" s="38" t="s">
        <v>82</v>
      </c>
      <c r="P20" s="38" t="s">
        <v>57</v>
      </c>
      <c r="Q20" s="38"/>
      <c r="R20" s="66">
        <f>(15-11)/15</f>
        <v>0.26666666666666666</v>
      </c>
      <c r="S20" s="38"/>
      <c r="T20" s="38"/>
    </row>
    <row r="21" spans="1:21" ht="12.75">
      <c r="A21" s="25" t="s">
        <v>110</v>
      </c>
      <c r="B21" s="25"/>
      <c r="C21" s="25"/>
      <c r="D21" s="25"/>
      <c r="E21" s="25"/>
      <c r="F21" s="38" t="s">
        <v>62</v>
      </c>
      <c r="G21" s="38"/>
      <c r="H21" s="38"/>
      <c r="I21" s="38"/>
      <c r="J21" s="66">
        <f>2/15</f>
        <v>0.13333333333333333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1"/>
    </row>
    <row r="22" spans="1:20" ht="12.75">
      <c r="A22" s="31" t="s">
        <v>61</v>
      </c>
      <c r="B22" s="25"/>
      <c r="C22" s="25"/>
      <c r="D22" s="25"/>
      <c r="E22" s="25"/>
      <c r="F22" s="31" t="s">
        <v>5</v>
      </c>
      <c r="G22" s="31"/>
      <c r="H22" s="31"/>
      <c r="I22" s="31"/>
      <c r="J22" s="31"/>
      <c r="K22" s="25"/>
      <c r="L22" s="25"/>
      <c r="M22" s="25"/>
      <c r="N22" s="25"/>
      <c r="O22" s="129" t="s">
        <v>6</v>
      </c>
      <c r="P22" s="129"/>
      <c r="Q22" s="129"/>
      <c r="R22" s="129"/>
      <c r="S22" s="129"/>
      <c r="T22" s="25"/>
    </row>
  </sheetData>
  <sheetProtection/>
  <mergeCells count="3">
    <mergeCell ref="A1:T1"/>
    <mergeCell ref="A2:T2"/>
    <mergeCell ref="O22:S2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="82" zoomScaleNormal="82" zoomScalePageLayoutView="0" workbookViewId="0" topLeftCell="A1">
      <selection activeCell="P10" sqref="P10"/>
    </sheetView>
  </sheetViews>
  <sheetFormatPr defaultColWidth="9.00390625" defaultRowHeight="12.75"/>
  <cols>
    <col min="1" max="1" width="3.25390625" style="21" customWidth="1"/>
    <col min="2" max="2" width="19.625" style="21" customWidth="1"/>
    <col min="3" max="6" width="4.00390625" style="21" customWidth="1"/>
    <col min="7" max="7" width="3.375" style="21" customWidth="1"/>
    <col min="8" max="8" width="5.625" style="21" customWidth="1"/>
    <col min="9" max="13" width="3.375" style="21" customWidth="1"/>
    <col min="14" max="14" width="4.375" style="21" customWidth="1"/>
    <col min="15" max="15" width="3.375" style="21" customWidth="1"/>
    <col min="16" max="16" width="4.75390625" style="21" customWidth="1"/>
    <col min="17" max="17" width="5.125" style="21" customWidth="1"/>
    <col min="18" max="19" width="3.375" style="21" customWidth="1"/>
    <col min="20" max="24" width="6.875" style="21" customWidth="1"/>
    <col min="25" max="25" width="9.125" style="21" customWidth="1"/>
    <col min="26" max="33" width="10.375" style="21" hidden="1" customWidth="1"/>
    <col min="34" max="38" width="10.375" style="21" customWidth="1"/>
    <col min="39" max="16384" width="9.125" style="21" customWidth="1"/>
  </cols>
  <sheetData>
    <row r="1" spans="1:32" ht="12.75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AD1" s="21" t="s">
        <v>58</v>
      </c>
      <c r="AE1" s="21" t="s">
        <v>22</v>
      </c>
      <c r="AF1" s="21" t="s">
        <v>23</v>
      </c>
    </row>
    <row r="2" spans="1:32" ht="12.75">
      <c r="A2" s="128" t="s">
        <v>113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AD2" s="21">
        <v>3002</v>
      </c>
      <c r="AE2" s="21">
        <v>158</v>
      </c>
      <c r="AF2" s="21">
        <v>19</v>
      </c>
    </row>
    <row r="3" spans="1:24" ht="135" customHeight="1">
      <c r="A3" s="27" t="s">
        <v>0</v>
      </c>
      <c r="B3" s="45" t="s">
        <v>81</v>
      </c>
      <c r="C3" s="72" t="s">
        <v>10</v>
      </c>
      <c r="D3" s="72" t="s">
        <v>11</v>
      </c>
      <c r="E3" s="72" t="s">
        <v>106</v>
      </c>
      <c r="F3" s="72" t="s">
        <v>21</v>
      </c>
      <c r="G3" s="72" t="s">
        <v>12</v>
      </c>
      <c r="H3" s="72" t="s">
        <v>17</v>
      </c>
      <c r="I3" s="72" t="s">
        <v>103</v>
      </c>
      <c r="J3" s="72" t="s">
        <v>14</v>
      </c>
      <c r="K3" s="72" t="s">
        <v>19</v>
      </c>
      <c r="L3" s="85" t="s">
        <v>107</v>
      </c>
      <c r="M3" s="72" t="s">
        <v>108</v>
      </c>
      <c r="N3" s="72" t="s">
        <v>109</v>
      </c>
      <c r="O3" s="85"/>
      <c r="P3" s="85"/>
      <c r="Q3" s="72"/>
      <c r="R3" s="72"/>
      <c r="S3" s="92"/>
      <c r="T3" s="28" t="s">
        <v>9</v>
      </c>
      <c r="U3" s="28" t="s">
        <v>8</v>
      </c>
      <c r="V3" s="28" t="s">
        <v>4</v>
      </c>
      <c r="W3" s="28" t="s">
        <v>3</v>
      </c>
      <c r="X3" s="28" t="s">
        <v>2</v>
      </c>
    </row>
    <row r="4" spans="1:29" ht="19.5" customHeight="1">
      <c r="A4" s="22">
        <v>1</v>
      </c>
      <c r="B4" s="87">
        <v>2023020301</v>
      </c>
      <c r="C4" s="90">
        <v>4</v>
      </c>
      <c r="D4" s="90">
        <v>4</v>
      </c>
      <c r="E4" s="90">
        <v>3</v>
      </c>
      <c r="F4" s="111">
        <f>(5*5+2+3+3)/8</f>
        <v>4.125</v>
      </c>
      <c r="G4" s="93">
        <v>4</v>
      </c>
      <c r="H4" s="80">
        <v>5</v>
      </c>
      <c r="I4" s="60">
        <v>5</v>
      </c>
      <c r="J4" s="93">
        <v>4</v>
      </c>
      <c r="K4" s="90">
        <v>5</v>
      </c>
      <c r="L4" s="90">
        <v>5</v>
      </c>
      <c r="M4" s="107">
        <v>4</v>
      </c>
      <c r="N4" s="90">
        <v>5</v>
      </c>
      <c r="O4" s="90"/>
      <c r="P4" s="90"/>
      <c r="Q4" s="90"/>
      <c r="R4" s="90"/>
      <c r="S4" s="90"/>
      <c r="T4" s="64"/>
      <c r="U4" s="64"/>
      <c r="V4" s="64">
        <f aca="true" t="shared" si="0" ref="V4:V11">W4+X4</f>
        <v>6</v>
      </c>
      <c r="W4" s="64"/>
      <c r="X4" s="64">
        <f>6</f>
        <v>6</v>
      </c>
      <c r="AB4" s="21">
        <f>COUNTIF(G4:S4,2)</f>
        <v>0</v>
      </c>
      <c r="AC4" s="21">
        <f aca="true" t="shared" si="1" ref="AC4:AC36">COUNTIF(G4:S4,"&lt;=3")</f>
        <v>0</v>
      </c>
    </row>
    <row r="5" spans="1:29" ht="16.5" customHeight="1">
      <c r="A5" s="22">
        <v>2</v>
      </c>
      <c r="B5" s="88">
        <v>2023020302</v>
      </c>
      <c r="C5" s="90">
        <v>4</v>
      </c>
      <c r="D5" s="90">
        <v>4</v>
      </c>
      <c r="E5" s="90">
        <v>3</v>
      </c>
      <c r="F5" s="111">
        <f>(5*4+2+2+5+3)/8</f>
        <v>4</v>
      </c>
      <c r="G5" s="90">
        <v>5</v>
      </c>
      <c r="H5" s="80">
        <v>4</v>
      </c>
      <c r="I5" s="110">
        <v>2</v>
      </c>
      <c r="J5" s="93">
        <v>5</v>
      </c>
      <c r="K5" s="95">
        <v>2</v>
      </c>
      <c r="L5" s="90">
        <v>4</v>
      </c>
      <c r="M5" s="107">
        <v>4</v>
      </c>
      <c r="N5" s="95">
        <v>2</v>
      </c>
      <c r="O5" s="90"/>
      <c r="P5" s="90"/>
      <c r="Q5" s="90"/>
      <c r="R5" s="90"/>
      <c r="S5" s="90"/>
      <c r="T5" s="64"/>
      <c r="U5" s="64"/>
      <c r="V5" s="64">
        <f t="shared" si="0"/>
        <v>0</v>
      </c>
      <c r="W5" s="64"/>
      <c r="X5" s="64"/>
      <c r="AB5" s="21">
        <f>COUNTIF(G5:S5,2)</f>
        <v>3</v>
      </c>
      <c r="AC5" s="21">
        <f t="shared" si="1"/>
        <v>3</v>
      </c>
    </row>
    <row r="6" spans="1:24" ht="15" customHeight="1">
      <c r="A6" s="22">
        <v>3</v>
      </c>
      <c r="B6" s="88">
        <v>2023020303</v>
      </c>
      <c r="C6" s="90">
        <v>5</v>
      </c>
      <c r="D6" s="90">
        <v>4</v>
      </c>
      <c r="E6" s="90">
        <v>4</v>
      </c>
      <c r="F6" s="111">
        <f>(5*6+3+4)/8</f>
        <v>4.625</v>
      </c>
      <c r="G6" s="90">
        <v>4</v>
      </c>
      <c r="H6" s="80">
        <v>5</v>
      </c>
      <c r="I6" s="60">
        <v>4</v>
      </c>
      <c r="J6" s="93">
        <v>5</v>
      </c>
      <c r="K6" s="95">
        <v>2</v>
      </c>
      <c r="L6" s="90">
        <v>5</v>
      </c>
      <c r="M6" s="107">
        <v>4</v>
      </c>
      <c r="N6" s="90">
        <v>5</v>
      </c>
      <c r="O6" s="90"/>
      <c r="P6" s="90"/>
      <c r="Q6" s="90"/>
      <c r="R6" s="90"/>
      <c r="S6" s="90"/>
      <c r="T6" s="64"/>
      <c r="U6" s="64"/>
      <c r="V6" s="64">
        <f t="shared" si="0"/>
        <v>0</v>
      </c>
      <c r="W6" s="64"/>
      <c r="X6" s="64"/>
    </row>
    <row r="7" spans="1:24" ht="12.75">
      <c r="A7" s="22">
        <v>4</v>
      </c>
      <c r="B7" s="88">
        <v>2023020304</v>
      </c>
      <c r="C7" s="90">
        <v>4</v>
      </c>
      <c r="D7" s="90">
        <v>4</v>
      </c>
      <c r="E7" s="90">
        <v>4</v>
      </c>
      <c r="F7" s="111">
        <f>(5*6+3+5)/8</f>
        <v>4.75</v>
      </c>
      <c r="G7" s="90">
        <v>4</v>
      </c>
      <c r="H7" s="80">
        <v>5</v>
      </c>
      <c r="I7" s="60">
        <v>3</v>
      </c>
      <c r="J7" s="93">
        <v>5</v>
      </c>
      <c r="K7" s="90">
        <v>5</v>
      </c>
      <c r="L7" s="90">
        <v>5</v>
      </c>
      <c r="M7" s="107">
        <v>4</v>
      </c>
      <c r="N7" s="90">
        <v>5</v>
      </c>
      <c r="O7" s="90"/>
      <c r="P7" s="90"/>
      <c r="Q7" s="90"/>
      <c r="R7" s="90"/>
      <c r="S7" s="90"/>
      <c r="T7" s="64"/>
      <c r="U7" s="64"/>
      <c r="V7" s="64">
        <f t="shared" si="0"/>
        <v>0</v>
      </c>
      <c r="W7" s="64"/>
      <c r="X7" s="64"/>
    </row>
    <row r="8" spans="1:29" ht="12.75" customHeight="1">
      <c r="A8" s="22">
        <v>5</v>
      </c>
      <c r="B8" s="88">
        <v>2023020305</v>
      </c>
      <c r="C8" s="90">
        <v>4</v>
      </c>
      <c r="D8" s="90">
        <v>4</v>
      </c>
      <c r="E8" s="90">
        <v>4</v>
      </c>
      <c r="F8" s="111">
        <f>(5*6+4+4)/8</f>
        <v>4.75</v>
      </c>
      <c r="G8" s="90">
        <v>5</v>
      </c>
      <c r="H8" s="80">
        <v>5</v>
      </c>
      <c r="I8" s="60">
        <v>5</v>
      </c>
      <c r="J8" s="93">
        <v>5</v>
      </c>
      <c r="K8" s="90">
        <v>5</v>
      </c>
      <c r="L8" s="90">
        <v>5</v>
      </c>
      <c r="M8" s="107">
        <v>4</v>
      </c>
      <c r="N8" s="90">
        <v>5</v>
      </c>
      <c r="O8" s="90"/>
      <c r="P8" s="90"/>
      <c r="Q8" s="90"/>
      <c r="R8" s="90"/>
      <c r="S8" s="90"/>
      <c r="T8" s="64"/>
      <c r="U8" s="64"/>
      <c r="V8" s="64">
        <f t="shared" si="0"/>
        <v>0</v>
      </c>
      <c r="W8" s="64"/>
      <c r="X8" s="64"/>
      <c r="AB8" s="21">
        <f>COUNTIF(G8:S8,2)</f>
        <v>0</v>
      </c>
      <c r="AC8" s="21">
        <f t="shared" si="1"/>
        <v>0</v>
      </c>
    </row>
    <row r="9" spans="1:29" ht="15.75" customHeight="1">
      <c r="A9" s="22">
        <v>6</v>
      </c>
      <c r="B9" s="88">
        <v>2023020306</v>
      </c>
      <c r="C9" s="90">
        <v>3</v>
      </c>
      <c r="D9" s="90">
        <v>4</v>
      </c>
      <c r="E9" s="90">
        <v>3</v>
      </c>
      <c r="F9" s="111">
        <f>(4*3+4*3+2)/8</f>
        <v>3.25</v>
      </c>
      <c r="G9" s="90">
        <v>4</v>
      </c>
      <c r="H9" s="80">
        <v>3</v>
      </c>
      <c r="I9" s="60">
        <v>3</v>
      </c>
      <c r="J9" s="93">
        <v>4</v>
      </c>
      <c r="K9" s="95">
        <v>2</v>
      </c>
      <c r="L9" s="90">
        <v>4</v>
      </c>
      <c r="M9" s="107">
        <v>4</v>
      </c>
      <c r="N9" s="90">
        <v>5</v>
      </c>
      <c r="O9" s="90"/>
      <c r="P9" s="90"/>
      <c r="Q9" s="90"/>
      <c r="R9" s="90"/>
      <c r="S9" s="90"/>
      <c r="T9" s="64"/>
      <c r="U9" s="64"/>
      <c r="V9" s="64">
        <f t="shared" si="0"/>
        <v>0</v>
      </c>
      <c r="W9" s="64"/>
      <c r="X9" s="64"/>
      <c r="AB9" s="21">
        <f>COUNTIF(G9:S9,2)</f>
        <v>1</v>
      </c>
      <c r="AC9" s="21">
        <f t="shared" si="1"/>
        <v>3</v>
      </c>
    </row>
    <row r="10" spans="1:24" ht="18.75" customHeight="1">
      <c r="A10" s="22">
        <v>7</v>
      </c>
      <c r="B10" s="88">
        <v>2023020307</v>
      </c>
      <c r="C10" s="90">
        <v>4</v>
      </c>
      <c r="D10" s="90">
        <v>4</v>
      </c>
      <c r="E10" s="90">
        <v>4</v>
      </c>
      <c r="F10" s="111">
        <f>(3*5+5+4)/5</f>
        <v>4.8</v>
      </c>
      <c r="G10" s="90">
        <v>5</v>
      </c>
      <c r="H10" s="80">
        <v>5</v>
      </c>
      <c r="I10" s="60">
        <v>4</v>
      </c>
      <c r="J10" s="93">
        <v>5</v>
      </c>
      <c r="K10" s="90">
        <v>4</v>
      </c>
      <c r="L10" s="90">
        <v>4</v>
      </c>
      <c r="M10" s="107">
        <v>5</v>
      </c>
      <c r="N10" s="90">
        <v>5</v>
      </c>
      <c r="O10" s="90"/>
      <c r="P10" s="90"/>
      <c r="Q10" s="90"/>
      <c r="R10" s="90"/>
      <c r="S10" s="90"/>
      <c r="T10" s="64"/>
      <c r="U10" s="64"/>
      <c r="V10" s="64">
        <f t="shared" si="0"/>
        <v>14</v>
      </c>
      <c r="W10" s="64"/>
      <c r="X10" s="64">
        <f>8+6</f>
        <v>14</v>
      </c>
    </row>
    <row r="11" spans="1:29" ht="15.75" customHeight="1">
      <c r="A11" s="22">
        <v>8</v>
      </c>
      <c r="B11" s="88">
        <v>2023020308</v>
      </c>
      <c r="C11" s="90">
        <v>4</v>
      </c>
      <c r="D11" s="90">
        <v>4</v>
      </c>
      <c r="E11" s="90">
        <v>3</v>
      </c>
      <c r="F11" s="111">
        <f>(4+4+3+2)/4</f>
        <v>3.25</v>
      </c>
      <c r="G11" s="90">
        <v>5</v>
      </c>
      <c r="H11" s="80">
        <v>4</v>
      </c>
      <c r="I11" s="60">
        <v>4</v>
      </c>
      <c r="J11" s="93">
        <v>4</v>
      </c>
      <c r="K11" s="95">
        <v>2</v>
      </c>
      <c r="L11" s="90">
        <v>4</v>
      </c>
      <c r="M11" s="107">
        <v>4</v>
      </c>
      <c r="N11" s="90">
        <v>5</v>
      </c>
      <c r="O11" s="90"/>
      <c r="P11" s="90"/>
      <c r="Q11" s="90"/>
      <c r="R11" s="90"/>
      <c r="S11" s="90"/>
      <c r="T11" s="64"/>
      <c r="U11" s="64"/>
      <c r="V11" s="64">
        <f t="shared" si="0"/>
        <v>0</v>
      </c>
      <c r="W11" s="64"/>
      <c r="X11" s="64"/>
      <c r="AB11" s="21">
        <f aca="true" t="shared" si="2" ref="AB11:AB36">COUNTIF(G11:S11,2)</f>
        <v>1</v>
      </c>
      <c r="AC11" s="21">
        <f t="shared" si="1"/>
        <v>1</v>
      </c>
    </row>
    <row r="12" spans="1:29" ht="15" customHeight="1">
      <c r="A12" s="22">
        <v>9</v>
      </c>
      <c r="B12" s="88">
        <v>2023020309</v>
      </c>
      <c r="C12" s="90">
        <v>4</v>
      </c>
      <c r="D12" s="90">
        <v>4</v>
      </c>
      <c r="E12" s="95" t="s">
        <v>91</v>
      </c>
      <c r="F12" s="111">
        <f>(3+5+5+5+2+3+2)/8</f>
        <v>3.125</v>
      </c>
      <c r="G12" s="90">
        <v>5</v>
      </c>
      <c r="H12" s="80">
        <v>4</v>
      </c>
      <c r="I12" s="110">
        <v>2</v>
      </c>
      <c r="J12" s="93">
        <v>5</v>
      </c>
      <c r="K12" s="95">
        <v>2</v>
      </c>
      <c r="L12" s="90">
        <v>5</v>
      </c>
      <c r="M12" s="107">
        <v>4</v>
      </c>
      <c r="N12" s="95">
        <v>2</v>
      </c>
      <c r="O12" s="90"/>
      <c r="P12" s="90"/>
      <c r="Q12" s="90"/>
      <c r="R12" s="90"/>
      <c r="S12" s="90"/>
      <c r="T12" s="64"/>
      <c r="U12" s="64"/>
      <c r="V12" s="64">
        <f>W12+X12</f>
        <v>9</v>
      </c>
      <c r="W12" s="64"/>
      <c r="X12" s="64">
        <f>4+2+3</f>
        <v>9</v>
      </c>
      <c r="AB12" s="21">
        <f t="shared" si="2"/>
        <v>3</v>
      </c>
      <c r="AC12" s="21">
        <f t="shared" si="1"/>
        <v>3</v>
      </c>
    </row>
    <row r="13" spans="1:29" ht="12.75">
      <c r="A13" s="22">
        <v>10</v>
      </c>
      <c r="B13" s="88">
        <v>2023020310</v>
      </c>
      <c r="C13" s="90">
        <v>5</v>
      </c>
      <c r="D13" s="90">
        <v>4</v>
      </c>
      <c r="E13" s="90">
        <v>3</v>
      </c>
      <c r="F13" s="111">
        <f>(5*5+5+5+4)/8</f>
        <v>4.875</v>
      </c>
      <c r="G13" s="90">
        <v>5</v>
      </c>
      <c r="H13" s="80">
        <v>5</v>
      </c>
      <c r="I13" s="60">
        <v>5</v>
      </c>
      <c r="J13" s="93">
        <v>5</v>
      </c>
      <c r="K13" s="90">
        <v>4</v>
      </c>
      <c r="L13" s="90">
        <v>4</v>
      </c>
      <c r="M13" s="107">
        <v>4</v>
      </c>
      <c r="N13" s="90">
        <v>5</v>
      </c>
      <c r="O13" s="90"/>
      <c r="P13" s="90"/>
      <c r="Q13" s="90"/>
      <c r="R13" s="90"/>
      <c r="S13" s="90"/>
      <c r="T13" s="64"/>
      <c r="U13" s="64"/>
      <c r="V13" s="64">
        <f aca="true" t="shared" si="3" ref="V13:V36">W13+X13</f>
        <v>10</v>
      </c>
      <c r="W13" s="64"/>
      <c r="X13" s="64">
        <f>6+4</f>
        <v>10</v>
      </c>
      <c r="AB13" s="21">
        <f t="shared" si="2"/>
        <v>0</v>
      </c>
      <c r="AC13" s="21">
        <f t="shared" si="1"/>
        <v>0</v>
      </c>
    </row>
    <row r="14" spans="1:29" ht="18" customHeight="1">
      <c r="A14" s="22">
        <v>11</v>
      </c>
      <c r="B14" s="88">
        <v>2023020311</v>
      </c>
      <c r="C14" s="90">
        <v>4</v>
      </c>
      <c r="D14" s="90">
        <v>4</v>
      </c>
      <c r="E14" s="90">
        <v>3</v>
      </c>
      <c r="F14" s="111">
        <f>(3*5+3+4+4+3+4)/8</f>
        <v>4.125</v>
      </c>
      <c r="G14" s="90">
        <v>4</v>
      </c>
      <c r="H14" s="80">
        <v>5</v>
      </c>
      <c r="I14" s="110">
        <v>2</v>
      </c>
      <c r="J14" s="93">
        <v>5</v>
      </c>
      <c r="K14" s="95">
        <v>2</v>
      </c>
      <c r="L14" s="90">
        <v>4</v>
      </c>
      <c r="M14" s="107">
        <v>4</v>
      </c>
      <c r="N14" s="90">
        <v>5</v>
      </c>
      <c r="O14" s="90"/>
      <c r="P14" s="90"/>
      <c r="Q14" s="90"/>
      <c r="R14" s="90"/>
      <c r="S14" s="90"/>
      <c r="T14" s="64"/>
      <c r="U14" s="64"/>
      <c r="V14" s="64">
        <f t="shared" si="3"/>
        <v>2</v>
      </c>
      <c r="W14" s="64"/>
      <c r="X14" s="64">
        <f>2</f>
        <v>2</v>
      </c>
      <c r="AB14" s="21">
        <f t="shared" si="2"/>
        <v>2</v>
      </c>
      <c r="AC14" s="21">
        <f t="shared" si="1"/>
        <v>2</v>
      </c>
    </row>
    <row r="15" spans="1:29" ht="19.5" customHeight="1">
      <c r="A15" s="22">
        <v>12</v>
      </c>
      <c r="B15" s="88">
        <v>2023020312</v>
      </c>
      <c r="C15" s="90">
        <v>4</v>
      </c>
      <c r="D15" s="90">
        <v>4</v>
      </c>
      <c r="E15" s="95" t="s">
        <v>91</v>
      </c>
      <c r="F15" s="111">
        <f>(3*3+5)/4</f>
        <v>3.5</v>
      </c>
      <c r="G15" s="90">
        <v>4</v>
      </c>
      <c r="H15" s="80">
        <v>5</v>
      </c>
      <c r="I15" s="60">
        <v>4</v>
      </c>
      <c r="J15" s="93">
        <v>5</v>
      </c>
      <c r="K15" s="95">
        <v>2</v>
      </c>
      <c r="L15" s="90">
        <v>5</v>
      </c>
      <c r="M15" s="107">
        <v>4</v>
      </c>
      <c r="N15" s="90">
        <v>5</v>
      </c>
      <c r="O15" s="90"/>
      <c r="P15" s="90"/>
      <c r="Q15" s="90"/>
      <c r="R15" s="90"/>
      <c r="S15" s="90"/>
      <c r="T15" s="64"/>
      <c r="U15" s="64"/>
      <c r="V15" s="64">
        <f t="shared" si="3"/>
        <v>22</v>
      </c>
      <c r="W15" s="64"/>
      <c r="X15" s="64">
        <f>22</f>
        <v>22</v>
      </c>
      <c r="AB15" s="21">
        <f t="shared" si="2"/>
        <v>1</v>
      </c>
      <c r="AC15" s="21">
        <f t="shared" si="1"/>
        <v>1</v>
      </c>
    </row>
    <row r="16" spans="1:29" ht="18" customHeight="1">
      <c r="A16" s="22">
        <v>13</v>
      </c>
      <c r="B16" s="88">
        <v>2023020313</v>
      </c>
      <c r="C16" s="90">
        <v>4</v>
      </c>
      <c r="D16" s="90">
        <v>4</v>
      </c>
      <c r="E16" s="90">
        <v>4</v>
      </c>
      <c r="F16" s="111">
        <f>(6*5+5+3)/8</f>
        <v>4.75</v>
      </c>
      <c r="G16" s="90">
        <v>5</v>
      </c>
      <c r="H16" s="80">
        <v>5</v>
      </c>
      <c r="I16" s="110">
        <v>2</v>
      </c>
      <c r="J16" s="93">
        <v>5</v>
      </c>
      <c r="K16" s="95">
        <v>2</v>
      </c>
      <c r="L16" s="90">
        <v>5</v>
      </c>
      <c r="M16" s="107">
        <v>4</v>
      </c>
      <c r="N16" s="90">
        <v>2</v>
      </c>
      <c r="O16" s="90"/>
      <c r="P16" s="90"/>
      <c r="Q16" s="90"/>
      <c r="R16" s="90"/>
      <c r="S16" s="90"/>
      <c r="T16" s="64"/>
      <c r="U16" s="64"/>
      <c r="V16" s="64">
        <f t="shared" si="3"/>
        <v>0</v>
      </c>
      <c r="W16" s="64"/>
      <c r="X16" s="64"/>
      <c r="AB16" s="21">
        <f t="shared" si="2"/>
        <v>3</v>
      </c>
      <c r="AC16" s="21">
        <f t="shared" si="1"/>
        <v>3</v>
      </c>
    </row>
    <row r="17" spans="1:29" ht="15.75" customHeight="1">
      <c r="A17" s="22">
        <v>14</v>
      </c>
      <c r="B17" s="88">
        <v>2023020314</v>
      </c>
      <c r="C17" s="90">
        <v>5</v>
      </c>
      <c r="D17" s="90">
        <v>4</v>
      </c>
      <c r="E17" s="90">
        <v>3</v>
      </c>
      <c r="F17" s="111">
        <f>(6*5+3+2)/8</f>
        <v>4.375</v>
      </c>
      <c r="G17" s="90">
        <v>5</v>
      </c>
      <c r="H17" s="80">
        <v>5</v>
      </c>
      <c r="I17" s="60">
        <v>5</v>
      </c>
      <c r="J17" s="93">
        <v>4</v>
      </c>
      <c r="K17" s="90">
        <v>3</v>
      </c>
      <c r="L17" s="90">
        <v>5</v>
      </c>
      <c r="M17" s="107">
        <v>4</v>
      </c>
      <c r="N17" s="90">
        <v>5</v>
      </c>
      <c r="O17" s="90"/>
      <c r="P17" s="90"/>
      <c r="Q17" s="90"/>
      <c r="R17" s="106"/>
      <c r="S17" s="90"/>
      <c r="T17" s="64"/>
      <c r="U17" s="64"/>
      <c r="V17" s="64">
        <f t="shared" si="3"/>
        <v>2</v>
      </c>
      <c r="W17" s="64">
        <f>2</f>
        <v>2</v>
      </c>
      <c r="X17" s="64"/>
      <c r="AB17" s="21">
        <f t="shared" si="2"/>
        <v>0</v>
      </c>
      <c r="AC17" s="21">
        <f t="shared" si="1"/>
        <v>1</v>
      </c>
    </row>
    <row r="18" spans="1:29" ht="18" customHeight="1">
      <c r="A18" s="22">
        <v>15</v>
      </c>
      <c r="B18" s="88">
        <v>2023020315</v>
      </c>
      <c r="C18" s="90">
        <v>4</v>
      </c>
      <c r="D18" s="90">
        <v>4</v>
      </c>
      <c r="E18" s="90">
        <v>4</v>
      </c>
      <c r="F18" s="111">
        <f>(3+4+4+2+2+2+3+3)/8</f>
        <v>2.875</v>
      </c>
      <c r="G18" s="90">
        <v>5</v>
      </c>
      <c r="H18" s="80">
        <v>4</v>
      </c>
      <c r="I18" s="60">
        <v>5</v>
      </c>
      <c r="J18" s="93">
        <v>5</v>
      </c>
      <c r="K18" s="95">
        <v>2</v>
      </c>
      <c r="L18" s="90">
        <v>5</v>
      </c>
      <c r="M18" s="107">
        <v>4</v>
      </c>
      <c r="N18" s="90">
        <v>5</v>
      </c>
      <c r="O18" s="90"/>
      <c r="P18" s="90"/>
      <c r="Q18" s="90"/>
      <c r="R18" s="90"/>
      <c r="S18" s="90"/>
      <c r="T18" s="64"/>
      <c r="U18" s="64"/>
      <c r="V18" s="64">
        <f t="shared" si="3"/>
        <v>2</v>
      </c>
      <c r="W18" s="64"/>
      <c r="X18" s="64">
        <f>2</f>
        <v>2</v>
      </c>
      <c r="AB18" s="21">
        <f t="shared" si="2"/>
        <v>1</v>
      </c>
      <c r="AC18" s="21">
        <f t="shared" si="1"/>
        <v>1</v>
      </c>
    </row>
    <row r="19" spans="1:29" ht="15.75" customHeight="1">
      <c r="A19" s="22">
        <v>16</v>
      </c>
      <c r="B19" s="88">
        <v>2023020316</v>
      </c>
      <c r="C19" s="90">
        <v>4</v>
      </c>
      <c r="D19" s="90">
        <v>4</v>
      </c>
      <c r="E19" s="90">
        <v>4</v>
      </c>
      <c r="F19" s="111">
        <f>(5*6+4)/7</f>
        <v>4.857142857142857</v>
      </c>
      <c r="G19" s="93">
        <v>5</v>
      </c>
      <c r="H19" s="80">
        <v>5</v>
      </c>
      <c r="I19" s="60">
        <v>5</v>
      </c>
      <c r="J19" s="93">
        <v>4</v>
      </c>
      <c r="K19" s="90">
        <v>5</v>
      </c>
      <c r="L19" s="90">
        <v>5</v>
      </c>
      <c r="M19" s="107">
        <v>4</v>
      </c>
      <c r="N19" s="90">
        <v>5</v>
      </c>
      <c r="O19" s="90"/>
      <c r="P19" s="90"/>
      <c r="Q19" s="90"/>
      <c r="R19" s="90"/>
      <c r="S19" s="90"/>
      <c r="T19" s="64"/>
      <c r="U19" s="64"/>
      <c r="V19" s="64">
        <f t="shared" si="3"/>
        <v>10</v>
      </c>
      <c r="W19" s="64"/>
      <c r="X19" s="64">
        <f>4+6</f>
        <v>10</v>
      </c>
      <c r="AB19" s="21">
        <f t="shared" si="2"/>
        <v>0</v>
      </c>
      <c r="AC19" s="21">
        <f t="shared" si="1"/>
        <v>0</v>
      </c>
    </row>
    <row r="20" spans="1:29" ht="12.75">
      <c r="A20" s="22">
        <v>17</v>
      </c>
      <c r="B20" s="88">
        <v>2023020317</v>
      </c>
      <c r="C20" s="90">
        <v>4</v>
      </c>
      <c r="D20" s="90">
        <v>4</v>
      </c>
      <c r="E20" s="90">
        <v>4</v>
      </c>
      <c r="F20" s="111">
        <f>(5+3+3+3+3+2)/6</f>
        <v>3.1666666666666665</v>
      </c>
      <c r="G20" s="90">
        <v>4</v>
      </c>
      <c r="H20" s="80">
        <v>5</v>
      </c>
      <c r="I20" s="60">
        <v>5</v>
      </c>
      <c r="J20" s="93">
        <v>5</v>
      </c>
      <c r="K20" s="95">
        <v>2</v>
      </c>
      <c r="L20" s="90">
        <v>5</v>
      </c>
      <c r="M20" s="107">
        <v>4</v>
      </c>
      <c r="N20" s="90">
        <v>5</v>
      </c>
      <c r="O20" s="90"/>
      <c r="P20" s="90"/>
      <c r="Q20" s="90"/>
      <c r="R20" s="90"/>
      <c r="S20" s="90"/>
      <c r="T20" s="64"/>
      <c r="U20" s="64"/>
      <c r="V20" s="64">
        <f t="shared" si="3"/>
        <v>4</v>
      </c>
      <c r="W20" s="64"/>
      <c r="X20" s="64">
        <f>4</f>
        <v>4</v>
      </c>
      <c r="AB20" s="21">
        <f t="shared" si="2"/>
        <v>1</v>
      </c>
      <c r="AC20" s="21">
        <f t="shared" si="1"/>
        <v>1</v>
      </c>
    </row>
    <row r="21" spans="1:29" ht="12.75">
      <c r="A21" s="22">
        <v>18</v>
      </c>
      <c r="B21" s="88">
        <v>2023020318</v>
      </c>
      <c r="C21" s="90">
        <v>4</v>
      </c>
      <c r="D21" s="90">
        <v>4</v>
      </c>
      <c r="E21" s="95" t="s">
        <v>91</v>
      </c>
      <c r="F21" s="111">
        <f>(5*2+2+3)/4</f>
        <v>3.75</v>
      </c>
      <c r="G21" s="93">
        <v>4</v>
      </c>
      <c r="H21" s="80">
        <v>5</v>
      </c>
      <c r="I21" s="110">
        <v>2</v>
      </c>
      <c r="J21" s="93">
        <v>4</v>
      </c>
      <c r="K21" s="95">
        <v>2</v>
      </c>
      <c r="L21" s="90">
        <v>5</v>
      </c>
      <c r="M21" s="107">
        <v>4</v>
      </c>
      <c r="N21" s="90">
        <v>5</v>
      </c>
      <c r="O21" s="90"/>
      <c r="P21" s="90"/>
      <c r="Q21" s="90"/>
      <c r="R21" s="90"/>
      <c r="S21" s="90"/>
      <c r="T21" s="64"/>
      <c r="U21" s="64"/>
      <c r="V21" s="64">
        <f t="shared" si="3"/>
        <v>22</v>
      </c>
      <c r="W21" s="64"/>
      <c r="X21" s="64">
        <f>6+16</f>
        <v>22</v>
      </c>
      <c r="AB21" s="21">
        <f t="shared" si="2"/>
        <v>2</v>
      </c>
      <c r="AC21" s="21">
        <f t="shared" si="1"/>
        <v>2</v>
      </c>
    </row>
    <row r="22" spans="1:29" ht="12.75">
      <c r="A22" s="22">
        <v>19</v>
      </c>
      <c r="B22" s="88">
        <v>2023020319</v>
      </c>
      <c r="C22" s="90">
        <v>5</v>
      </c>
      <c r="D22" s="90">
        <v>4</v>
      </c>
      <c r="E22" s="90">
        <v>3</v>
      </c>
      <c r="F22" s="111">
        <f>(4*5+2+2)/6</f>
        <v>4</v>
      </c>
      <c r="G22" s="93">
        <v>4</v>
      </c>
      <c r="H22" s="80">
        <v>5</v>
      </c>
      <c r="I22" s="60">
        <v>4</v>
      </c>
      <c r="J22" s="93">
        <v>5</v>
      </c>
      <c r="K22" s="90">
        <v>4</v>
      </c>
      <c r="L22" s="90">
        <v>4</v>
      </c>
      <c r="M22" s="107">
        <v>4</v>
      </c>
      <c r="N22" s="90">
        <v>5</v>
      </c>
      <c r="O22" s="90"/>
      <c r="P22" s="90"/>
      <c r="Q22" s="90"/>
      <c r="R22" s="90"/>
      <c r="S22" s="90"/>
      <c r="T22" s="64"/>
      <c r="U22" s="64"/>
      <c r="V22" s="64">
        <f t="shared" si="3"/>
        <v>0</v>
      </c>
      <c r="W22" s="64"/>
      <c r="X22" s="64"/>
      <c r="AB22" s="21">
        <f t="shared" si="2"/>
        <v>0</v>
      </c>
      <c r="AC22" s="21">
        <f t="shared" si="1"/>
        <v>0</v>
      </c>
    </row>
    <row r="23" spans="1:29" ht="12.75">
      <c r="A23" s="22">
        <v>20</v>
      </c>
      <c r="B23" s="88">
        <v>2023020320</v>
      </c>
      <c r="C23" s="90">
        <v>5</v>
      </c>
      <c r="D23" s="90">
        <v>4</v>
      </c>
      <c r="E23" s="90">
        <v>4</v>
      </c>
      <c r="F23" s="111">
        <f>(7*5)/7</f>
        <v>5</v>
      </c>
      <c r="G23" s="90">
        <v>5</v>
      </c>
      <c r="H23" s="80">
        <v>4</v>
      </c>
      <c r="I23" s="60">
        <v>5</v>
      </c>
      <c r="J23" s="93">
        <v>5</v>
      </c>
      <c r="K23" s="90">
        <v>5</v>
      </c>
      <c r="L23" s="90">
        <v>5</v>
      </c>
      <c r="M23" s="107">
        <v>4</v>
      </c>
      <c r="N23" s="90">
        <v>5</v>
      </c>
      <c r="O23" s="90"/>
      <c r="P23" s="90"/>
      <c r="Q23" s="90"/>
      <c r="R23" s="90"/>
      <c r="S23" s="90"/>
      <c r="T23" s="64"/>
      <c r="U23" s="64"/>
      <c r="V23" s="64">
        <f t="shared" si="3"/>
        <v>4</v>
      </c>
      <c r="W23" s="64"/>
      <c r="X23" s="64">
        <f>4</f>
        <v>4</v>
      </c>
      <c r="AB23" s="21">
        <f t="shared" si="2"/>
        <v>0</v>
      </c>
      <c r="AC23" s="21">
        <f t="shared" si="1"/>
        <v>0</v>
      </c>
    </row>
    <row r="24" spans="1:29" ht="12.75">
      <c r="A24" s="22">
        <v>21</v>
      </c>
      <c r="B24" s="89">
        <v>2023020333</v>
      </c>
      <c r="C24" s="90">
        <v>3</v>
      </c>
      <c r="D24" s="90">
        <v>4</v>
      </c>
      <c r="E24" s="95" t="s">
        <v>91</v>
      </c>
      <c r="F24" s="111">
        <f>(7*5)/7</f>
        <v>5</v>
      </c>
      <c r="G24" s="95" t="s">
        <v>91</v>
      </c>
      <c r="H24" s="116" t="s">
        <v>91</v>
      </c>
      <c r="I24" s="110">
        <v>2</v>
      </c>
      <c r="J24" s="93">
        <v>5</v>
      </c>
      <c r="K24" s="95">
        <v>2</v>
      </c>
      <c r="L24" s="95" t="s">
        <v>91</v>
      </c>
      <c r="M24" s="120" t="s">
        <v>91</v>
      </c>
      <c r="N24" s="95">
        <v>2</v>
      </c>
      <c r="O24" s="90"/>
      <c r="P24" s="90"/>
      <c r="Q24" s="90"/>
      <c r="R24" s="90"/>
      <c r="S24" s="90"/>
      <c r="T24" s="64"/>
      <c r="U24" s="64"/>
      <c r="V24" s="64">
        <f t="shared" si="3"/>
        <v>26</v>
      </c>
      <c r="W24" s="64"/>
      <c r="X24" s="64">
        <f>4+22</f>
        <v>26</v>
      </c>
      <c r="AB24" s="21">
        <f t="shared" si="2"/>
        <v>3</v>
      </c>
      <c r="AC24" s="21">
        <f t="shared" si="1"/>
        <v>3</v>
      </c>
    </row>
    <row r="25" spans="1:29" ht="12.75">
      <c r="A25" s="22">
        <v>22</v>
      </c>
      <c r="B25" s="89">
        <v>2023020332</v>
      </c>
      <c r="C25" s="90">
        <v>4</v>
      </c>
      <c r="D25" s="90">
        <v>4</v>
      </c>
      <c r="E25" s="95" t="s">
        <v>91</v>
      </c>
      <c r="F25" s="111">
        <f>(5*4+2+2+3+2)/8</f>
        <v>3.625</v>
      </c>
      <c r="G25" s="90">
        <v>5</v>
      </c>
      <c r="H25" s="80">
        <v>4</v>
      </c>
      <c r="I25" s="60">
        <v>3</v>
      </c>
      <c r="J25" s="93">
        <v>5</v>
      </c>
      <c r="K25" s="95">
        <v>2</v>
      </c>
      <c r="L25" s="107">
        <v>4</v>
      </c>
      <c r="M25" s="107">
        <v>4</v>
      </c>
      <c r="N25" s="90">
        <v>2</v>
      </c>
      <c r="O25" s="107"/>
      <c r="P25" s="90"/>
      <c r="Q25" s="90"/>
      <c r="R25" s="90"/>
      <c r="S25" s="90"/>
      <c r="T25" s="64"/>
      <c r="U25" s="64"/>
      <c r="V25" s="64">
        <f t="shared" si="3"/>
        <v>9</v>
      </c>
      <c r="W25" s="64"/>
      <c r="X25" s="64">
        <f>3+6</f>
        <v>9</v>
      </c>
      <c r="AB25" s="21">
        <f t="shared" si="2"/>
        <v>2</v>
      </c>
      <c r="AC25" s="21">
        <f t="shared" si="1"/>
        <v>3</v>
      </c>
    </row>
    <row r="26" spans="1:29" ht="12.75" customHeight="1">
      <c r="A26" s="22">
        <v>23</v>
      </c>
      <c r="B26" s="88">
        <v>2023020321</v>
      </c>
      <c r="C26" s="90">
        <v>3</v>
      </c>
      <c r="D26" s="90">
        <v>4</v>
      </c>
      <c r="E26" s="95" t="s">
        <v>91</v>
      </c>
      <c r="F26" s="111">
        <f>4</f>
        <v>4</v>
      </c>
      <c r="G26" s="93">
        <v>4</v>
      </c>
      <c r="H26" s="116" t="s">
        <v>91</v>
      </c>
      <c r="I26" s="60">
        <v>4</v>
      </c>
      <c r="J26" s="93">
        <v>5</v>
      </c>
      <c r="K26" s="95">
        <v>2</v>
      </c>
      <c r="L26" s="107">
        <v>5</v>
      </c>
      <c r="M26" s="107">
        <v>4</v>
      </c>
      <c r="N26" s="90">
        <v>5</v>
      </c>
      <c r="O26" s="107"/>
      <c r="P26" s="90"/>
      <c r="Q26" s="90"/>
      <c r="R26" s="90"/>
      <c r="S26" s="90"/>
      <c r="T26" s="64"/>
      <c r="U26" s="64"/>
      <c r="V26" s="64">
        <f t="shared" si="3"/>
        <v>12</v>
      </c>
      <c r="W26" s="64"/>
      <c r="X26" s="64">
        <f>12</f>
        <v>12</v>
      </c>
      <c r="AB26" s="21">
        <f t="shared" si="2"/>
        <v>1</v>
      </c>
      <c r="AC26" s="21">
        <f t="shared" si="1"/>
        <v>1</v>
      </c>
    </row>
    <row r="27" spans="1:29" ht="13.5" customHeight="1">
      <c r="A27" s="22">
        <v>24</v>
      </c>
      <c r="B27" s="88">
        <v>2023020322</v>
      </c>
      <c r="C27" s="93">
        <v>4</v>
      </c>
      <c r="D27" s="93">
        <v>4</v>
      </c>
      <c r="E27" s="93">
        <v>5</v>
      </c>
      <c r="F27" s="111">
        <f>(5*3+2+2)/6</f>
        <v>3.1666666666666665</v>
      </c>
      <c r="G27" s="90">
        <v>4</v>
      </c>
      <c r="H27" s="74">
        <v>5</v>
      </c>
      <c r="I27" s="60">
        <v>4</v>
      </c>
      <c r="J27" s="93">
        <v>5</v>
      </c>
      <c r="K27" s="95">
        <v>2</v>
      </c>
      <c r="L27" s="93">
        <v>3</v>
      </c>
      <c r="M27" s="93">
        <v>4</v>
      </c>
      <c r="N27" s="119">
        <v>2</v>
      </c>
      <c r="O27" s="93"/>
      <c r="P27" s="105"/>
      <c r="Q27" s="105"/>
      <c r="R27" s="90"/>
      <c r="S27" s="90"/>
      <c r="T27" s="64"/>
      <c r="U27" s="64"/>
      <c r="V27" s="64">
        <f t="shared" si="3"/>
        <v>7</v>
      </c>
      <c r="W27" s="64"/>
      <c r="X27" s="64">
        <f>7</f>
        <v>7</v>
      </c>
      <c r="AB27" s="21">
        <f t="shared" si="2"/>
        <v>2</v>
      </c>
      <c r="AC27" s="21">
        <f t="shared" si="1"/>
        <v>3</v>
      </c>
    </row>
    <row r="28" spans="1:29" ht="13.5" customHeight="1">
      <c r="A28" s="22">
        <v>25</v>
      </c>
      <c r="B28" s="89">
        <v>2023020331</v>
      </c>
      <c r="C28" s="90">
        <v>5</v>
      </c>
      <c r="D28" s="90">
        <v>4</v>
      </c>
      <c r="E28" s="90">
        <v>4</v>
      </c>
      <c r="F28" s="111">
        <v>5</v>
      </c>
      <c r="G28" s="90">
        <v>5</v>
      </c>
      <c r="H28" s="74">
        <v>5</v>
      </c>
      <c r="I28" s="60">
        <v>5</v>
      </c>
      <c r="J28" s="93">
        <v>5</v>
      </c>
      <c r="K28" s="90">
        <v>5</v>
      </c>
      <c r="L28" s="107">
        <v>5</v>
      </c>
      <c r="M28" s="107">
        <v>5</v>
      </c>
      <c r="N28" s="90">
        <v>5</v>
      </c>
      <c r="O28" s="107"/>
      <c r="P28" s="90"/>
      <c r="Q28" s="90"/>
      <c r="R28" s="90"/>
      <c r="S28" s="90"/>
      <c r="T28" s="64"/>
      <c r="U28" s="64"/>
      <c r="V28" s="64">
        <f t="shared" si="3"/>
        <v>3</v>
      </c>
      <c r="W28" s="64"/>
      <c r="X28" s="64">
        <f>3</f>
        <v>3</v>
      </c>
      <c r="AB28" s="21">
        <f t="shared" si="2"/>
        <v>0</v>
      </c>
      <c r="AC28" s="21">
        <f t="shared" si="1"/>
        <v>0</v>
      </c>
    </row>
    <row r="29" spans="1:29" ht="13.5" customHeight="1">
      <c r="A29" s="22">
        <v>26</v>
      </c>
      <c r="B29" s="88">
        <v>2023020323</v>
      </c>
      <c r="C29" s="90">
        <v>4</v>
      </c>
      <c r="D29" s="90">
        <v>4</v>
      </c>
      <c r="E29" s="90">
        <v>4</v>
      </c>
      <c r="F29" s="111">
        <f>(5*4+2+2+4+4)/8</f>
        <v>4</v>
      </c>
      <c r="G29" s="90">
        <v>5</v>
      </c>
      <c r="H29" s="74">
        <v>5</v>
      </c>
      <c r="I29" s="60">
        <v>5</v>
      </c>
      <c r="J29" s="93">
        <v>5</v>
      </c>
      <c r="K29" s="90">
        <v>5</v>
      </c>
      <c r="L29" s="90">
        <v>5</v>
      </c>
      <c r="M29" s="107">
        <v>4</v>
      </c>
      <c r="N29" s="90">
        <v>5</v>
      </c>
      <c r="O29" s="90"/>
      <c r="P29" s="90"/>
      <c r="Q29" s="90"/>
      <c r="R29" s="90"/>
      <c r="S29" s="90"/>
      <c r="T29" s="64"/>
      <c r="U29" s="64"/>
      <c r="V29" s="64">
        <f t="shared" si="3"/>
        <v>10</v>
      </c>
      <c r="W29" s="64"/>
      <c r="X29" s="64">
        <f>10</f>
        <v>10</v>
      </c>
      <c r="AB29" s="21">
        <f t="shared" si="2"/>
        <v>0</v>
      </c>
      <c r="AC29" s="21">
        <f t="shared" si="1"/>
        <v>0</v>
      </c>
    </row>
    <row r="30" spans="1:29" ht="13.5" customHeight="1">
      <c r="A30" s="22">
        <v>27</v>
      </c>
      <c r="B30" s="88">
        <v>2023020324</v>
      </c>
      <c r="C30" s="90">
        <v>4</v>
      </c>
      <c r="D30" s="95" t="s">
        <v>91</v>
      </c>
      <c r="E30" s="90">
        <v>3</v>
      </c>
      <c r="F30" s="111">
        <f>(5*3+4+4)/6</f>
        <v>3.8333333333333335</v>
      </c>
      <c r="G30" s="90">
        <v>4</v>
      </c>
      <c r="H30" s="74">
        <v>5</v>
      </c>
      <c r="I30" s="110">
        <v>2</v>
      </c>
      <c r="J30" s="119" t="s">
        <v>91</v>
      </c>
      <c r="K30" s="90">
        <v>3</v>
      </c>
      <c r="L30" s="90">
        <v>5</v>
      </c>
      <c r="M30" s="107">
        <v>4</v>
      </c>
      <c r="N30" s="90">
        <v>5</v>
      </c>
      <c r="O30" s="90"/>
      <c r="P30" s="90"/>
      <c r="Q30" s="90"/>
      <c r="R30" s="90"/>
      <c r="S30" s="90"/>
      <c r="T30" s="64"/>
      <c r="U30" s="64"/>
      <c r="V30" s="64">
        <f t="shared" si="3"/>
        <v>10</v>
      </c>
      <c r="W30" s="64"/>
      <c r="X30" s="64">
        <f>10</f>
        <v>10</v>
      </c>
      <c r="AB30" s="21">
        <f t="shared" si="2"/>
        <v>1</v>
      </c>
      <c r="AC30" s="21">
        <f t="shared" si="1"/>
        <v>2</v>
      </c>
    </row>
    <row r="31" spans="1:29" ht="12.75" customHeight="1">
      <c r="A31" s="22">
        <v>28</v>
      </c>
      <c r="B31" s="88">
        <v>2023020325</v>
      </c>
      <c r="C31" s="90">
        <v>5</v>
      </c>
      <c r="D31" s="90">
        <v>4</v>
      </c>
      <c r="E31" s="90">
        <v>4</v>
      </c>
      <c r="F31" s="111">
        <f>(5*6+4+3)/8</f>
        <v>4.625</v>
      </c>
      <c r="G31" s="90">
        <v>5</v>
      </c>
      <c r="H31" s="74">
        <v>5</v>
      </c>
      <c r="I31" s="60">
        <v>5</v>
      </c>
      <c r="J31" s="93">
        <v>5</v>
      </c>
      <c r="K31" s="95">
        <v>2</v>
      </c>
      <c r="L31" s="119" t="s">
        <v>91</v>
      </c>
      <c r="M31" s="107">
        <v>4</v>
      </c>
      <c r="N31" s="90">
        <v>5</v>
      </c>
      <c r="O31" s="90"/>
      <c r="P31" s="90"/>
      <c r="Q31" s="90"/>
      <c r="R31" s="90"/>
      <c r="S31" s="90"/>
      <c r="T31" s="64"/>
      <c r="U31" s="64"/>
      <c r="V31" s="64">
        <f t="shared" si="3"/>
        <v>11</v>
      </c>
      <c r="W31" s="64"/>
      <c r="X31" s="64">
        <f>5+6</f>
        <v>11</v>
      </c>
      <c r="AB31" s="21">
        <f t="shared" si="2"/>
        <v>1</v>
      </c>
      <c r="AC31" s="21">
        <f t="shared" si="1"/>
        <v>1</v>
      </c>
    </row>
    <row r="32" spans="1:29" ht="13.5" customHeight="1">
      <c r="A32" s="22">
        <v>29</v>
      </c>
      <c r="B32" s="88">
        <v>2023020326</v>
      </c>
      <c r="C32" s="90">
        <v>5</v>
      </c>
      <c r="D32" s="90">
        <v>4</v>
      </c>
      <c r="E32" s="90">
        <v>4</v>
      </c>
      <c r="F32" s="111">
        <v>5</v>
      </c>
      <c r="G32" s="90">
        <v>5</v>
      </c>
      <c r="H32" s="74">
        <v>5</v>
      </c>
      <c r="I32" s="60">
        <v>5</v>
      </c>
      <c r="J32" s="93">
        <v>5</v>
      </c>
      <c r="K32" s="90">
        <v>5</v>
      </c>
      <c r="L32" s="90">
        <v>5</v>
      </c>
      <c r="M32" s="107">
        <v>5</v>
      </c>
      <c r="N32" s="90">
        <v>5</v>
      </c>
      <c r="O32" s="90"/>
      <c r="P32" s="90"/>
      <c r="Q32" s="90"/>
      <c r="R32" s="93"/>
      <c r="S32" s="90"/>
      <c r="T32" s="64"/>
      <c r="U32" s="64"/>
      <c r="V32" s="64">
        <f t="shared" si="3"/>
        <v>4</v>
      </c>
      <c r="W32" s="64"/>
      <c r="X32" s="64">
        <f>4</f>
        <v>4</v>
      </c>
      <c r="AB32" s="21">
        <f t="shared" si="2"/>
        <v>0</v>
      </c>
      <c r="AC32" s="21">
        <f t="shared" si="1"/>
        <v>0</v>
      </c>
    </row>
    <row r="33" spans="1:29" ht="12" customHeight="1">
      <c r="A33" s="22">
        <v>30</v>
      </c>
      <c r="B33" s="88">
        <v>2023020327</v>
      </c>
      <c r="C33" s="90">
        <v>5</v>
      </c>
      <c r="D33" s="90">
        <v>4</v>
      </c>
      <c r="E33" s="90">
        <v>4</v>
      </c>
      <c r="F33" s="111">
        <f>(5*4+4+2+3+2)/8</f>
        <v>3.875</v>
      </c>
      <c r="G33" s="90">
        <v>5</v>
      </c>
      <c r="H33" s="74">
        <v>5</v>
      </c>
      <c r="I33" s="60">
        <v>5</v>
      </c>
      <c r="J33" s="93">
        <v>5</v>
      </c>
      <c r="K33" s="90">
        <v>5</v>
      </c>
      <c r="L33" s="90">
        <v>5</v>
      </c>
      <c r="M33" s="107">
        <v>4</v>
      </c>
      <c r="N33" s="90">
        <v>5</v>
      </c>
      <c r="O33" s="90"/>
      <c r="P33" s="90"/>
      <c r="Q33" s="90"/>
      <c r="R33" s="93"/>
      <c r="S33" s="90"/>
      <c r="T33" s="64"/>
      <c r="U33" s="64"/>
      <c r="V33" s="64">
        <f t="shared" si="3"/>
        <v>0</v>
      </c>
      <c r="W33" s="64"/>
      <c r="X33" s="64"/>
      <c r="AB33" s="21">
        <f t="shared" si="2"/>
        <v>0</v>
      </c>
      <c r="AC33" s="21">
        <f t="shared" si="1"/>
        <v>0</v>
      </c>
    </row>
    <row r="34" spans="1:29" ht="12.75" customHeight="1">
      <c r="A34" s="22">
        <v>31</v>
      </c>
      <c r="B34" s="88">
        <v>2023020328</v>
      </c>
      <c r="C34" s="90">
        <v>5</v>
      </c>
      <c r="D34" s="90">
        <v>4</v>
      </c>
      <c r="E34" s="90">
        <v>4</v>
      </c>
      <c r="F34" s="111">
        <f>(5*4+4+2+3+2)/8</f>
        <v>3.875</v>
      </c>
      <c r="G34" s="90">
        <v>5</v>
      </c>
      <c r="H34" s="74">
        <v>5</v>
      </c>
      <c r="I34" s="60">
        <v>3</v>
      </c>
      <c r="J34" s="93">
        <v>5</v>
      </c>
      <c r="K34" s="95">
        <v>2</v>
      </c>
      <c r="L34" s="90">
        <v>5</v>
      </c>
      <c r="M34" s="107">
        <v>4</v>
      </c>
      <c r="N34" s="95">
        <v>2</v>
      </c>
      <c r="O34" s="90"/>
      <c r="P34" s="90"/>
      <c r="Q34" s="90"/>
      <c r="R34" s="93"/>
      <c r="S34" s="90"/>
      <c r="T34" s="64"/>
      <c r="U34" s="64"/>
      <c r="V34" s="64">
        <f t="shared" si="3"/>
        <v>3</v>
      </c>
      <c r="W34" s="64"/>
      <c r="X34" s="64">
        <f>2+1</f>
        <v>3</v>
      </c>
      <c r="AB34" s="21">
        <f t="shared" si="2"/>
        <v>2</v>
      </c>
      <c r="AC34" s="21">
        <f t="shared" si="1"/>
        <v>3</v>
      </c>
    </row>
    <row r="35" spans="1:29" ht="15.75" customHeight="1">
      <c r="A35" s="22">
        <v>32</v>
      </c>
      <c r="B35" s="88">
        <v>2023020329</v>
      </c>
      <c r="C35" s="90">
        <v>4</v>
      </c>
      <c r="D35" s="95" t="s">
        <v>91</v>
      </c>
      <c r="E35" s="90">
        <v>4</v>
      </c>
      <c r="F35" s="111">
        <f>(5*2+4+2)/4</f>
        <v>4</v>
      </c>
      <c r="G35" s="90">
        <v>5</v>
      </c>
      <c r="H35" s="74">
        <v>5</v>
      </c>
      <c r="I35" s="110">
        <v>2</v>
      </c>
      <c r="J35" s="119" t="s">
        <v>91</v>
      </c>
      <c r="K35" s="95">
        <v>2</v>
      </c>
      <c r="L35" s="95" t="s">
        <v>91</v>
      </c>
      <c r="M35" s="120" t="s">
        <v>91</v>
      </c>
      <c r="N35" s="95">
        <v>2</v>
      </c>
      <c r="O35" s="90"/>
      <c r="P35" s="90"/>
      <c r="Q35" s="90"/>
      <c r="R35" s="90"/>
      <c r="S35" s="90"/>
      <c r="T35" s="64"/>
      <c r="U35" s="64"/>
      <c r="V35" s="64">
        <f t="shared" si="3"/>
        <v>40</v>
      </c>
      <c r="W35" s="64">
        <f>12+22</f>
        <v>34</v>
      </c>
      <c r="X35" s="64">
        <f>6</f>
        <v>6</v>
      </c>
      <c r="AB35" s="21">
        <f t="shared" si="2"/>
        <v>3</v>
      </c>
      <c r="AC35" s="21">
        <f t="shared" si="1"/>
        <v>3</v>
      </c>
    </row>
    <row r="36" spans="1:29" ht="15" customHeight="1">
      <c r="A36" s="22">
        <v>33</v>
      </c>
      <c r="B36" s="88">
        <v>2023020330</v>
      </c>
      <c r="C36" s="90">
        <v>5</v>
      </c>
      <c r="D36" s="90">
        <v>4</v>
      </c>
      <c r="E36" s="90">
        <v>4</v>
      </c>
      <c r="F36" s="111">
        <v>5</v>
      </c>
      <c r="G36" s="90">
        <v>5</v>
      </c>
      <c r="H36" s="74">
        <v>5</v>
      </c>
      <c r="I36" s="60">
        <v>5</v>
      </c>
      <c r="J36" s="93">
        <v>5</v>
      </c>
      <c r="K36" s="90">
        <v>5</v>
      </c>
      <c r="L36" s="90">
        <v>5</v>
      </c>
      <c r="M36" s="107">
        <v>4</v>
      </c>
      <c r="N36" s="90">
        <v>5</v>
      </c>
      <c r="O36" s="90"/>
      <c r="P36" s="90"/>
      <c r="Q36" s="90"/>
      <c r="R36" s="90"/>
      <c r="S36" s="90"/>
      <c r="T36" s="64"/>
      <c r="U36" s="64"/>
      <c r="V36" s="64">
        <f t="shared" si="3"/>
        <v>0</v>
      </c>
      <c r="W36" s="64"/>
      <c r="X36" s="64"/>
      <c r="AB36" s="21">
        <f t="shared" si="2"/>
        <v>0</v>
      </c>
      <c r="AC36" s="21">
        <f t="shared" si="1"/>
        <v>0</v>
      </c>
    </row>
    <row r="37" spans="1:24" ht="12.75">
      <c r="A37" s="23"/>
      <c r="B37" s="84" t="s">
        <v>7</v>
      </c>
      <c r="C37" s="94"/>
      <c r="D37" s="94"/>
      <c r="E37" s="94"/>
      <c r="F37" s="9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24"/>
      <c r="U37" s="50">
        <v>19</v>
      </c>
      <c r="V37" s="30">
        <f>SUM(V4:V36)</f>
        <v>242</v>
      </c>
      <c r="W37" s="30">
        <f>SUM(W4:W36)</f>
        <v>36</v>
      </c>
      <c r="X37" s="30">
        <f>SUM(X4:X36)</f>
        <v>206</v>
      </c>
    </row>
    <row r="38" spans="1:24" ht="12.75">
      <c r="A38" s="67" t="s">
        <v>92</v>
      </c>
      <c r="B38" s="68">
        <f>206/33</f>
        <v>6.242424242424242</v>
      </c>
      <c r="C38" s="67"/>
      <c r="D38" s="67"/>
      <c r="E38" s="67"/>
      <c r="F38" s="67"/>
      <c r="G38" s="67"/>
      <c r="H38" s="67"/>
      <c r="I38" s="38" t="s">
        <v>83</v>
      </c>
      <c r="J38" s="38"/>
      <c r="K38" s="38"/>
      <c r="L38" s="38"/>
      <c r="M38" s="66"/>
      <c r="N38" s="66">
        <f>(4785-206)/4785</f>
        <v>0.9569487983281086</v>
      </c>
      <c r="O38" s="38"/>
      <c r="P38" s="38" t="s">
        <v>56</v>
      </c>
      <c r="Q38" s="38"/>
      <c r="R38" s="38">
        <v>19</v>
      </c>
      <c r="S38" s="38" t="s">
        <v>82</v>
      </c>
      <c r="T38" s="38" t="s">
        <v>57</v>
      </c>
      <c r="U38" s="38"/>
      <c r="V38" s="66">
        <f>(33-19)/33</f>
        <v>0.42424242424242425</v>
      </c>
      <c r="W38" s="38"/>
      <c r="X38" s="38"/>
    </row>
    <row r="39" spans="1:25" ht="12.75">
      <c r="A39" s="25" t="s">
        <v>111</v>
      </c>
      <c r="B39" s="130"/>
      <c r="C39" s="130"/>
      <c r="D39" s="130"/>
      <c r="E39" s="130"/>
      <c r="F39" s="130"/>
      <c r="G39" s="130"/>
      <c r="H39" s="66"/>
      <c r="I39" s="38"/>
      <c r="J39" s="25"/>
      <c r="K39" s="25"/>
      <c r="L39" s="25"/>
      <c r="M39" s="38" t="s">
        <v>62</v>
      </c>
      <c r="N39" s="38"/>
      <c r="O39" s="38"/>
      <c r="P39" s="38"/>
      <c r="Q39" s="66">
        <f>9/33</f>
        <v>0.2727272727272727</v>
      </c>
      <c r="R39" s="38"/>
      <c r="S39" s="38"/>
      <c r="T39" s="38"/>
      <c r="U39" s="38"/>
      <c r="V39" s="38"/>
      <c r="W39" s="38"/>
      <c r="X39" s="38"/>
      <c r="Y39" s="41"/>
    </row>
    <row r="40" spans="1:24" ht="12.75">
      <c r="A40" s="31" t="s">
        <v>61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31" t="s">
        <v>5</v>
      </c>
      <c r="N40" s="31"/>
      <c r="O40" s="31"/>
      <c r="P40" s="31"/>
      <c r="Q40" s="31"/>
      <c r="R40" s="25"/>
      <c r="S40" s="129" t="s">
        <v>6</v>
      </c>
      <c r="T40" s="129"/>
      <c r="U40" s="129"/>
      <c r="V40" s="129"/>
      <c r="W40" s="129"/>
      <c r="X40" s="25"/>
    </row>
  </sheetData>
  <sheetProtection/>
  <mergeCells count="4">
    <mergeCell ref="A1:X1"/>
    <mergeCell ref="A2:X2"/>
    <mergeCell ref="S40:W40"/>
    <mergeCell ref="B39:G3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48" sqref="F48"/>
    </sheetView>
  </sheetViews>
  <sheetFormatPr defaultColWidth="9.00390625" defaultRowHeight="12.75"/>
  <cols>
    <col min="1" max="1" width="20.625" style="0" customWidth="1"/>
    <col min="2" max="7" width="12.625" style="0" customWidth="1"/>
  </cols>
  <sheetData>
    <row r="1" spans="1:7" ht="51.75" customHeight="1">
      <c r="A1" s="133" t="s">
        <v>80</v>
      </c>
      <c r="B1" s="133"/>
      <c r="C1" s="133"/>
      <c r="D1" s="133"/>
      <c r="E1" s="133"/>
      <c r="F1" s="133"/>
      <c r="G1" s="133"/>
    </row>
    <row r="2" spans="1:7" ht="109.5" customHeight="1">
      <c r="A2" s="32" t="s">
        <v>63</v>
      </c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  <c r="G2" s="33" t="s">
        <v>69</v>
      </c>
    </row>
    <row r="3" spans="1:7" ht="18.75">
      <c r="A3" s="131" t="s">
        <v>94</v>
      </c>
      <c r="B3" s="131"/>
      <c r="C3" s="131"/>
      <c r="D3" s="131"/>
      <c r="E3" s="131"/>
      <c r="F3" s="131"/>
      <c r="G3" s="131"/>
    </row>
    <row r="4" spans="1:7" ht="15">
      <c r="A4" s="36" t="s">
        <v>70</v>
      </c>
      <c r="B4" s="37">
        <v>8</v>
      </c>
      <c r="C4" s="37">
        <v>38</v>
      </c>
      <c r="D4" s="37">
        <v>25</v>
      </c>
      <c r="E4" s="37">
        <v>94</v>
      </c>
      <c r="F4" s="37">
        <v>9</v>
      </c>
      <c r="G4" s="37"/>
    </row>
    <row r="5" spans="1:7" ht="15">
      <c r="A5" s="36" t="s">
        <v>71</v>
      </c>
      <c r="B5" s="37">
        <v>8</v>
      </c>
      <c r="C5" s="37">
        <v>25</v>
      </c>
      <c r="D5" s="37">
        <v>25</v>
      </c>
      <c r="E5" s="37">
        <v>100</v>
      </c>
      <c r="F5" s="37">
        <v>0</v>
      </c>
      <c r="G5" s="37"/>
    </row>
    <row r="6" spans="1:7" ht="15">
      <c r="A6" s="36" t="s">
        <v>72</v>
      </c>
      <c r="B6" s="37">
        <v>8</v>
      </c>
      <c r="C6" s="37">
        <v>63</v>
      </c>
      <c r="D6" s="37">
        <v>38</v>
      </c>
      <c r="E6" s="37">
        <v>100</v>
      </c>
      <c r="F6" s="37">
        <v>0</v>
      </c>
      <c r="G6" s="37"/>
    </row>
    <row r="7" spans="1:7" ht="15.75">
      <c r="A7" s="35" t="s">
        <v>73</v>
      </c>
      <c r="B7" s="53">
        <v>8</v>
      </c>
      <c r="C7" s="54">
        <v>50</v>
      </c>
      <c r="D7" s="54">
        <v>25</v>
      </c>
      <c r="E7" s="53">
        <v>99</v>
      </c>
      <c r="F7" s="55">
        <v>9</v>
      </c>
      <c r="G7" s="35"/>
    </row>
    <row r="8" spans="1:7" ht="15">
      <c r="A8" s="34" t="s">
        <v>74</v>
      </c>
      <c r="B8" s="40">
        <v>8</v>
      </c>
      <c r="C8" s="59">
        <v>25</v>
      </c>
      <c r="D8" s="59">
        <v>25</v>
      </c>
      <c r="E8" s="59">
        <v>100</v>
      </c>
      <c r="F8" s="40">
        <v>0</v>
      </c>
      <c r="G8" s="34"/>
    </row>
    <row r="9" spans="1:7" ht="15">
      <c r="A9" s="34" t="s">
        <v>75</v>
      </c>
      <c r="B9" s="40">
        <v>8</v>
      </c>
      <c r="C9" s="40">
        <v>75</v>
      </c>
      <c r="D9" s="40">
        <v>38</v>
      </c>
      <c r="E9" s="40">
        <v>91</v>
      </c>
      <c r="F9" s="40">
        <v>11</v>
      </c>
      <c r="G9" s="34"/>
    </row>
    <row r="10" spans="1:7" ht="15">
      <c r="A10" s="34" t="s">
        <v>76</v>
      </c>
      <c r="B10" s="40">
        <v>8</v>
      </c>
      <c r="C10" s="40">
        <v>63</v>
      </c>
      <c r="D10" s="40">
        <v>50</v>
      </c>
      <c r="E10" s="40">
        <v>90</v>
      </c>
      <c r="F10" s="40">
        <v>5</v>
      </c>
      <c r="G10" s="34"/>
    </row>
    <row r="11" spans="1:7" ht="15">
      <c r="A11" s="34" t="s">
        <v>77</v>
      </c>
      <c r="B11" s="40">
        <v>8</v>
      </c>
      <c r="C11" s="34"/>
      <c r="D11" s="34"/>
      <c r="E11" s="34"/>
      <c r="F11" s="34"/>
      <c r="G11" s="34"/>
    </row>
    <row r="12" spans="1:11" ht="15.75">
      <c r="A12" s="35" t="s">
        <v>78</v>
      </c>
      <c r="B12" s="35"/>
      <c r="C12" s="35"/>
      <c r="D12" s="35"/>
      <c r="E12" s="35"/>
      <c r="F12" s="35"/>
      <c r="G12" s="35"/>
      <c r="K12" s="39"/>
    </row>
    <row r="13" spans="1:11" ht="18.75">
      <c r="A13" s="131" t="s">
        <v>95</v>
      </c>
      <c r="B13" s="131"/>
      <c r="C13" s="131"/>
      <c r="D13" s="131"/>
      <c r="E13" s="131"/>
      <c r="F13" s="131"/>
      <c r="G13" s="131"/>
      <c r="K13" s="39"/>
    </row>
    <row r="14" spans="1:11" ht="15">
      <c r="A14" s="36" t="s">
        <v>70</v>
      </c>
      <c r="B14" s="37">
        <v>7</v>
      </c>
      <c r="C14" s="37">
        <v>71</v>
      </c>
      <c r="D14" s="37">
        <v>57</v>
      </c>
      <c r="E14" s="37">
        <v>96</v>
      </c>
      <c r="F14" s="37">
        <v>6</v>
      </c>
      <c r="G14" s="37"/>
      <c r="K14" s="39"/>
    </row>
    <row r="15" spans="1:11" ht="15">
      <c r="A15" s="36" t="s">
        <v>71</v>
      </c>
      <c r="B15" s="37">
        <v>7</v>
      </c>
      <c r="C15" s="37">
        <v>86</v>
      </c>
      <c r="D15" s="37">
        <v>43</v>
      </c>
      <c r="E15" s="37">
        <v>100</v>
      </c>
      <c r="F15" s="37">
        <v>0</v>
      </c>
      <c r="G15" s="37"/>
      <c r="K15" s="39"/>
    </row>
    <row r="16" spans="1:11" ht="15">
      <c r="A16" s="36" t="s">
        <v>72</v>
      </c>
      <c r="B16" s="37">
        <v>7</v>
      </c>
      <c r="C16" s="37">
        <v>71</v>
      </c>
      <c r="D16" s="37">
        <v>29</v>
      </c>
      <c r="E16" s="37">
        <v>100</v>
      </c>
      <c r="F16" s="37">
        <v>0</v>
      </c>
      <c r="G16" s="37"/>
      <c r="K16" s="39"/>
    </row>
    <row r="17" spans="1:11" ht="15.75">
      <c r="A17" s="35" t="s">
        <v>73</v>
      </c>
      <c r="B17" s="53">
        <v>7</v>
      </c>
      <c r="C17" s="54">
        <v>86</v>
      </c>
      <c r="D17" s="54">
        <v>29</v>
      </c>
      <c r="E17" s="53">
        <v>99</v>
      </c>
      <c r="F17" s="53">
        <v>6</v>
      </c>
      <c r="G17" s="35"/>
      <c r="K17" s="39"/>
    </row>
    <row r="18" spans="1:11" ht="15">
      <c r="A18" s="34" t="s">
        <v>74</v>
      </c>
      <c r="B18" s="40">
        <v>7</v>
      </c>
      <c r="C18" s="40">
        <v>57</v>
      </c>
      <c r="D18" s="40">
        <v>43</v>
      </c>
      <c r="E18" s="40">
        <v>100</v>
      </c>
      <c r="F18" s="40">
        <v>0</v>
      </c>
      <c r="G18" s="34"/>
      <c r="K18" s="39"/>
    </row>
    <row r="19" spans="1:11" ht="15">
      <c r="A19" s="34" t="s">
        <v>75</v>
      </c>
      <c r="B19" s="40">
        <v>7</v>
      </c>
      <c r="C19" s="40">
        <v>86</v>
      </c>
      <c r="D19" s="40">
        <v>0</v>
      </c>
      <c r="E19" s="40">
        <v>86</v>
      </c>
      <c r="F19" s="40">
        <v>3</v>
      </c>
      <c r="G19" s="34"/>
      <c r="K19" s="39"/>
    </row>
    <row r="20" spans="1:11" ht="15">
      <c r="A20" s="34" t="s">
        <v>76</v>
      </c>
      <c r="B20" s="40">
        <v>7</v>
      </c>
      <c r="C20" s="40">
        <v>100</v>
      </c>
      <c r="D20" s="40">
        <v>71</v>
      </c>
      <c r="E20" s="40">
        <v>100</v>
      </c>
      <c r="F20" s="40">
        <v>0</v>
      </c>
      <c r="G20" s="34"/>
      <c r="K20" s="39"/>
    </row>
    <row r="21" spans="1:11" ht="15">
      <c r="A21" s="34" t="s">
        <v>77</v>
      </c>
      <c r="B21" s="40">
        <v>7</v>
      </c>
      <c r="C21" s="40"/>
      <c r="D21" s="40"/>
      <c r="E21" s="40"/>
      <c r="F21" s="40"/>
      <c r="G21" s="34"/>
      <c r="K21" s="39"/>
    </row>
    <row r="22" spans="1:11" ht="15.75">
      <c r="A22" s="35" t="s">
        <v>78</v>
      </c>
      <c r="B22" s="35"/>
      <c r="C22" s="34"/>
      <c r="D22" s="34"/>
      <c r="E22" s="34"/>
      <c r="F22" s="34"/>
      <c r="G22" s="34"/>
      <c r="K22" s="39"/>
    </row>
    <row r="23" spans="1:11" ht="18.75">
      <c r="A23" s="131" t="s">
        <v>96</v>
      </c>
      <c r="B23" s="131"/>
      <c r="C23" s="131"/>
      <c r="D23" s="131"/>
      <c r="E23" s="131"/>
      <c r="F23" s="131"/>
      <c r="G23" s="131"/>
      <c r="K23" s="39"/>
    </row>
    <row r="24" spans="1:7" ht="15">
      <c r="A24" s="36" t="s">
        <v>70</v>
      </c>
      <c r="B24" s="37">
        <v>15</v>
      </c>
      <c r="C24" s="37">
        <v>47</v>
      </c>
      <c r="D24" s="37">
        <v>33</v>
      </c>
      <c r="E24" s="37">
        <v>96</v>
      </c>
      <c r="F24" s="37">
        <v>6.6</v>
      </c>
      <c r="G24" s="37"/>
    </row>
    <row r="25" spans="1:7" ht="15">
      <c r="A25" s="36" t="s">
        <v>71</v>
      </c>
      <c r="B25" s="37">
        <v>15</v>
      </c>
      <c r="C25" s="37">
        <v>33</v>
      </c>
      <c r="D25" s="37">
        <v>20</v>
      </c>
      <c r="E25" s="37">
        <v>100</v>
      </c>
      <c r="F25" s="37">
        <v>0</v>
      </c>
      <c r="G25" s="37"/>
    </row>
    <row r="26" spans="1:7" ht="15">
      <c r="A26" s="36" t="s">
        <v>72</v>
      </c>
      <c r="B26" s="37">
        <v>15</v>
      </c>
      <c r="C26" s="37">
        <v>87</v>
      </c>
      <c r="D26" s="37">
        <v>60</v>
      </c>
      <c r="E26" s="37">
        <v>100</v>
      </c>
      <c r="F26" s="37">
        <v>0</v>
      </c>
      <c r="G26" s="37"/>
    </row>
    <row r="27" spans="1:7" ht="15.75">
      <c r="A27" s="35" t="s">
        <v>73</v>
      </c>
      <c r="B27" s="53">
        <v>15</v>
      </c>
      <c r="C27" s="54">
        <v>47</v>
      </c>
      <c r="D27" s="54">
        <v>20</v>
      </c>
      <c r="E27" s="53">
        <v>99</v>
      </c>
      <c r="F27" s="53">
        <v>6.6</v>
      </c>
      <c r="G27" s="35"/>
    </row>
    <row r="28" spans="1:7" ht="15">
      <c r="A28" s="34" t="s">
        <v>74</v>
      </c>
      <c r="B28" s="40">
        <v>15</v>
      </c>
      <c r="C28" s="40">
        <v>47</v>
      </c>
      <c r="D28" s="40">
        <v>27</v>
      </c>
      <c r="E28" s="40">
        <v>100</v>
      </c>
      <c r="F28" s="40">
        <v>0</v>
      </c>
      <c r="G28" s="34"/>
    </row>
    <row r="29" spans="1:7" ht="15">
      <c r="A29" s="34" t="s">
        <v>75</v>
      </c>
      <c r="B29" s="40">
        <v>15</v>
      </c>
      <c r="C29" s="59">
        <v>67</v>
      </c>
      <c r="D29" s="59">
        <v>60</v>
      </c>
      <c r="E29" s="59">
        <v>95</v>
      </c>
      <c r="F29" s="59">
        <v>8</v>
      </c>
      <c r="G29" s="34"/>
    </row>
    <row r="30" spans="1:7" ht="15">
      <c r="A30" s="34" t="s">
        <v>76</v>
      </c>
      <c r="B30" s="40">
        <v>15</v>
      </c>
      <c r="C30" s="40">
        <v>80</v>
      </c>
      <c r="D30" s="40">
        <v>20</v>
      </c>
      <c r="E30" s="40">
        <v>96</v>
      </c>
      <c r="F30" s="40">
        <v>7</v>
      </c>
      <c r="G30" s="34"/>
    </row>
    <row r="31" spans="1:7" ht="15">
      <c r="A31" s="34" t="s">
        <v>77</v>
      </c>
      <c r="B31" s="40">
        <v>15</v>
      </c>
      <c r="C31" s="40">
        <v>27</v>
      </c>
      <c r="D31" s="40">
        <v>13</v>
      </c>
      <c r="E31" s="40">
        <v>100</v>
      </c>
      <c r="F31" s="40">
        <v>0</v>
      </c>
      <c r="G31" s="34"/>
    </row>
    <row r="32" spans="1:7" ht="15.75">
      <c r="A32" s="35" t="s">
        <v>78</v>
      </c>
      <c r="B32" s="35"/>
      <c r="C32" s="34"/>
      <c r="D32" s="34"/>
      <c r="E32" s="34"/>
      <c r="F32" s="34"/>
      <c r="G32" s="34"/>
    </row>
    <row r="33" spans="1:7" ht="18.75">
      <c r="A33" s="131" t="s">
        <v>97</v>
      </c>
      <c r="B33" s="131"/>
      <c r="C33" s="131"/>
      <c r="D33" s="131"/>
      <c r="E33" s="131"/>
      <c r="F33" s="131"/>
      <c r="G33" s="131"/>
    </row>
    <row r="34" spans="1:7" ht="15">
      <c r="A34" s="36" t="s">
        <v>70</v>
      </c>
      <c r="B34" s="37">
        <v>30</v>
      </c>
      <c r="C34" s="37">
        <v>73</v>
      </c>
      <c r="D34" s="37">
        <v>17</v>
      </c>
      <c r="E34" s="37">
        <v>97</v>
      </c>
      <c r="F34" s="37">
        <v>5</v>
      </c>
      <c r="G34" s="37"/>
    </row>
    <row r="35" spans="1:7" ht="15">
      <c r="A35" s="36" t="s">
        <v>71</v>
      </c>
      <c r="B35" s="37">
        <v>30</v>
      </c>
      <c r="C35" s="37">
        <v>73</v>
      </c>
      <c r="D35" s="37">
        <v>17</v>
      </c>
      <c r="E35" s="37">
        <v>100</v>
      </c>
      <c r="F35" s="37">
        <v>0</v>
      </c>
      <c r="G35" s="37"/>
    </row>
    <row r="36" spans="1:7" ht="15">
      <c r="A36" s="36" t="s">
        <v>72</v>
      </c>
      <c r="B36" s="37">
        <v>30</v>
      </c>
      <c r="C36" s="37">
        <v>57</v>
      </c>
      <c r="D36" s="37">
        <v>37</v>
      </c>
      <c r="E36" s="37">
        <v>100</v>
      </c>
      <c r="F36" s="37">
        <v>0</v>
      </c>
      <c r="G36" s="37"/>
    </row>
    <row r="37" spans="1:7" ht="15.75">
      <c r="A37" s="35" t="s">
        <v>73</v>
      </c>
      <c r="B37" s="53">
        <v>30</v>
      </c>
      <c r="C37" s="54">
        <v>70</v>
      </c>
      <c r="D37" s="54">
        <v>20</v>
      </c>
      <c r="E37" s="96">
        <f>(18840-149)/18840</f>
        <v>0.9920912951167729</v>
      </c>
      <c r="F37" s="53">
        <v>5</v>
      </c>
      <c r="G37" s="35"/>
    </row>
    <row r="38" spans="1:7" ht="15">
      <c r="A38" s="34" t="s">
        <v>74</v>
      </c>
      <c r="B38" s="40">
        <v>32</v>
      </c>
      <c r="C38" s="40">
        <v>31</v>
      </c>
      <c r="D38" s="40">
        <v>6</v>
      </c>
      <c r="E38" s="40">
        <v>99</v>
      </c>
      <c r="F38" s="40">
        <v>1.4</v>
      </c>
      <c r="G38" s="34"/>
    </row>
    <row r="39" spans="1:7" ht="15">
      <c r="A39" s="34" t="s">
        <v>75</v>
      </c>
      <c r="B39" s="40">
        <v>33</v>
      </c>
      <c r="C39" s="40">
        <v>21</v>
      </c>
      <c r="D39" s="40">
        <v>15</v>
      </c>
      <c r="E39" s="40">
        <v>96</v>
      </c>
      <c r="F39" s="40">
        <v>5</v>
      </c>
      <c r="G39" s="34"/>
    </row>
    <row r="40" spans="1:7" ht="15">
      <c r="A40" s="34" t="s">
        <v>76</v>
      </c>
      <c r="B40" s="40">
        <v>33</v>
      </c>
      <c r="C40" s="40">
        <v>48</v>
      </c>
      <c r="D40" s="40">
        <v>9</v>
      </c>
      <c r="E40" s="40">
        <v>94</v>
      </c>
      <c r="F40" s="40">
        <v>4</v>
      </c>
      <c r="G40" s="34"/>
    </row>
    <row r="41" spans="1:7" ht="15">
      <c r="A41" s="34" t="s">
        <v>77</v>
      </c>
      <c r="B41" s="40">
        <v>33</v>
      </c>
      <c r="C41" s="40">
        <v>42</v>
      </c>
      <c r="D41" s="40">
        <v>27</v>
      </c>
      <c r="E41" s="40">
        <v>99</v>
      </c>
      <c r="F41" s="40">
        <v>6</v>
      </c>
      <c r="G41" s="34"/>
    </row>
    <row r="42" spans="1:7" ht="15.75">
      <c r="A42" s="35" t="s">
        <v>78</v>
      </c>
      <c r="B42" s="35"/>
      <c r="C42" s="34"/>
      <c r="D42" s="34"/>
      <c r="E42" s="34"/>
      <c r="F42" s="34"/>
      <c r="G42" s="34"/>
    </row>
    <row r="43" spans="1:7" ht="18.75">
      <c r="A43" s="132" t="s">
        <v>79</v>
      </c>
      <c r="B43" s="132"/>
      <c r="C43" s="132"/>
      <c r="D43" s="132"/>
      <c r="E43" s="132"/>
      <c r="F43" s="132"/>
      <c r="G43" s="132"/>
    </row>
    <row r="44" spans="1:7" ht="15">
      <c r="A44" s="36" t="s">
        <v>70</v>
      </c>
      <c r="B44" s="37">
        <v>60</v>
      </c>
      <c r="C44" s="70">
        <f>(60-8-8-2-5)/60</f>
        <v>0.6166666666666667</v>
      </c>
      <c r="D44" s="70">
        <f>16/60</f>
        <v>0.26666666666666666</v>
      </c>
      <c r="E44" s="70">
        <f>(8894-149-99-44-69)/8894</f>
        <v>0.9594108387677086</v>
      </c>
      <c r="F44" s="71">
        <f>(149+99+44+69)/60</f>
        <v>6.016666666666667</v>
      </c>
      <c r="G44" s="37"/>
    </row>
    <row r="45" spans="1:7" ht="15">
      <c r="A45" s="34" t="s">
        <v>71</v>
      </c>
      <c r="B45" s="37">
        <v>60</v>
      </c>
      <c r="C45" s="70">
        <f>(60-8-10-2-5)/60</f>
        <v>0.5833333333333334</v>
      </c>
      <c r="D45" s="70">
        <f>13/60</f>
        <v>0.21666666666666667</v>
      </c>
      <c r="E45" s="37">
        <v>100</v>
      </c>
      <c r="F45" s="37">
        <v>0</v>
      </c>
      <c r="G45" s="40"/>
    </row>
    <row r="46" spans="1:7" ht="15">
      <c r="A46" s="34" t="s">
        <v>72</v>
      </c>
      <c r="B46" s="40">
        <v>60</v>
      </c>
      <c r="C46" s="70">
        <f>(60-3-2-2-13)/60</f>
        <v>0.6666666666666666</v>
      </c>
      <c r="D46" s="70">
        <f>(3+2+8+11)/60</f>
        <v>0.4</v>
      </c>
      <c r="E46" s="37">
        <v>100</v>
      </c>
      <c r="F46" s="37">
        <v>0</v>
      </c>
      <c r="G46" s="40"/>
    </row>
    <row r="47" spans="1:7" ht="15.75">
      <c r="A47" s="35" t="s">
        <v>73</v>
      </c>
      <c r="B47" s="97">
        <v>60</v>
      </c>
      <c r="C47" s="98">
        <f>(60-9-4-1-8)/60</f>
        <v>0.6333333333333333</v>
      </c>
      <c r="D47" s="98">
        <f>(6+2+2+3)/60</f>
        <v>0.21666666666666667</v>
      </c>
      <c r="E47" s="99">
        <f>(149520-69-149-44-99)/149520</f>
        <v>0.9975856072766185</v>
      </c>
      <c r="F47" s="100">
        <f>(149+69+44+99)/60</f>
        <v>6.016666666666667</v>
      </c>
      <c r="G47" s="56"/>
    </row>
    <row r="48" spans="1:7" ht="15">
      <c r="A48" s="34" t="s">
        <v>74</v>
      </c>
      <c r="B48" s="40">
        <v>62</v>
      </c>
      <c r="C48" s="70">
        <f>(62-22-8-3-6)/62</f>
        <v>0.3709677419354839</v>
      </c>
      <c r="D48" s="70">
        <f>(2+4+2+3)/62</f>
        <v>0.1774193548387097</v>
      </c>
      <c r="E48" s="114">
        <v>1</v>
      </c>
      <c r="F48" s="71">
        <f>44/62</f>
        <v>0.7096774193548387</v>
      </c>
      <c r="G48" s="34"/>
    </row>
    <row r="49" spans="1:7" ht="15">
      <c r="A49" s="34" t="s">
        <v>75</v>
      </c>
      <c r="B49" s="40">
        <f>B39+B29+B19+B9</f>
        <v>63</v>
      </c>
      <c r="C49" s="40">
        <v>46</v>
      </c>
      <c r="D49" s="40">
        <v>32</v>
      </c>
      <c r="E49" s="40">
        <v>95</v>
      </c>
      <c r="F49" s="40">
        <v>6</v>
      </c>
      <c r="G49" s="34"/>
    </row>
    <row r="50" spans="1:7" ht="15">
      <c r="A50" s="34" t="s">
        <v>76</v>
      </c>
      <c r="B50" s="40">
        <v>63</v>
      </c>
      <c r="C50" s="70">
        <f>(63-17-3-3)/63</f>
        <v>0.6349206349206349</v>
      </c>
      <c r="D50" s="70">
        <f>(4+5+3+3)/63</f>
        <v>0.23809523809523808</v>
      </c>
      <c r="E50" s="114">
        <f>(7990-277)/7990</f>
        <v>0.965331664580726</v>
      </c>
      <c r="F50" s="71">
        <f>(132+103+42)/63</f>
        <v>4.396825396825397</v>
      </c>
      <c r="G50" s="34"/>
    </row>
    <row r="51" spans="1:7" ht="15">
      <c r="A51" s="34" t="s">
        <v>77</v>
      </c>
      <c r="B51" s="40">
        <v>63</v>
      </c>
      <c r="C51" s="70">
        <f>(48-11-19)/48</f>
        <v>0.375</v>
      </c>
      <c r="D51" s="70">
        <f>(2+9)/48</f>
        <v>0.22916666666666666</v>
      </c>
      <c r="E51" s="114">
        <f>(6465-206-7)/6465</f>
        <v>0.9670533642691416</v>
      </c>
      <c r="F51" s="71">
        <f>(206+7)/48</f>
        <v>4.4375</v>
      </c>
      <c r="G51" s="34"/>
    </row>
    <row r="52" spans="1:7" ht="15.75">
      <c r="A52" s="35" t="s">
        <v>78</v>
      </c>
      <c r="B52" s="34"/>
      <c r="C52" s="34"/>
      <c r="D52" s="34"/>
      <c r="E52" s="34"/>
      <c r="F52" s="34"/>
      <c r="G52" s="34"/>
    </row>
  </sheetData>
  <sheetProtection/>
  <mergeCells count="6">
    <mergeCell ref="A33:G33"/>
    <mergeCell ref="A43:G43"/>
    <mergeCell ref="A1:G1"/>
    <mergeCell ref="A3:G3"/>
    <mergeCell ref="A13:G13"/>
    <mergeCell ref="A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Чмель</dc:creator>
  <cp:keywords/>
  <dc:description/>
  <cp:lastModifiedBy>User</cp:lastModifiedBy>
  <cp:lastPrinted>2020-12-25T12:30:47Z</cp:lastPrinted>
  <dcterms:created xsi:type="dcterms:W3CDTF">2007-12-12T13:38:15Z</dcterms:created>
  <dcterms:modified xsi:type="dcterms:W3CDTF">2021-06-04T12:14:44Z</dcterms:modified>
  <cp:category/>
  <cp:version/>
  <cp:contentType/>
  <cp:contentStatus/>
</cp:coreProperties>
</file>